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60" windowWidth="18195" windowHeight="10770"/>
  </bookViews>
  <sheets>
    <sheet name="Доходы" sheetId="1" r:id="rId1"/>
    <sheet name="Расходы" sheetId="2" r:id="rId2"/>
  </sheets>
  <calcPr calcId="145621"/>
</workbook>
</file>

<file path=xl/calcChain.xml><?xml version="1.0" encoding="utf-8"?>
<calcChain xmlns="http://schemas.openxmlformats.org/spreadsheetml/2006/main">
  <c r="D21" i="2" l="1"/>
  <c r="D33" i="2"/>
  <c r="C21" i="2"/>
  <c r="D20" i="2"/>
  <c r="C20" i="2"/>
  <c r="D19" i="2"/>
  <c r="C19" i="2"/>
  <c r="D17" i="2"/>
  <c r="C17" i="2"/>
  <c r="D16" i="2"/>
  <c r="C16" i="2"/>
  <c r="C13" i="2"/>
  <c r="E38" i="1" l="1"/>
  <c r="K18" i="1" l="1"/>
  <c r="L20" i="1" s="1"/>
  <c r="M20" i="1" s="1"/>
  <c r="E32" i="1"/>
  <c r="L19" i="1" l="1"/>
  <c r="M19" i="1" s="1"/>
  <c r="E18" i="1"/>
  <c r="F23" i="2" l="1"/>
  <c r="D22" i="2"/>
  <c r="C22" i="2"/>
  <c r="B22" i="2"/>
  <c r="K12" i="1" l="1"/>
  <c r="N12" i="1"/>
  <c r="N11" i="1"/>
  <c r="L12" i="1"/>
  <c r="L11" i="1"/>
  <c r="K11" i="1"/>
  <c r="D47" i="1" l="1"/>
  <c r="D46" i="1"/>
  <c r="C46" i="1"/>
  <c r="D38" i="1"/>
  <c r="G45" i="1" l="1"/>
  <c r="G44" i="1"/>
  <c r="G43" i="1"/>
  <c r="G42" i="1" s="1"/>
  <c r="G41" i="1" s="1"/>
  <c r="G38" i="1"/>
  <c r="G37" i="1" s="1"/>
  <c r="G35" i="1"/>
  <c r="G30" i="1"/>
  <c r="G28" i="1"/>
  <c r="G22" i="1"/>
  <c r="G21" i="1"/>
  <c r="G53" i="1" s="1"/>
  <c r="G18" i="1"/>
  <c r="G16" i="1" s="1"/>
  <c r="G10" i="1"/>
  <c r="G7" i="1"/>
  <c r="G6" i="1" l="1"/>
  <c r="G40" i="1" s="1"/>
  <c r="G49" i="1" s="1"/>
  <c r="G51" i="1" s="1"/>
  <c r="G52" i="1"/>
  <c r="D24" i="2"/>
  <c r="F35" i="2" l="1"/>
  <c r="D34" i="2"/>
  <c r="C34" i="2"/>
  <c r="B34" i="2"/>
  <c r="F34" i="2" l="1"/>
  <c r="J48" i="1"/>
  <c r="J47" i="1"/>
  <c r="J38" i="1"/>
  <c r="H38" i="1"/>
  <c r="H31" i="1"/>
  <c r="H34" i="1"/>
  <c r="H33" i="1"/>
  <c r="H14" i="1"/>
  <c r="H50" i="1" l="1"/>
  <c r="H46" i="1"/>
  <c r="J45" i="1"/>
  <c r="H45" i="1"/>
  <c r="I44" i="1"/>
  <c r="H44" i="1"/>
  <c r="J44" i="1"/>
  <c r="J43" i="1"/>
  <c r="I43" i="1"/>
  <c r="H43" i="1"/>
  <c r="E42" i="1"/>
  <c r="E41" i="1" s="1"/>
  <c r="D42" i="1"/>
  <c r="D41" i="1" s="1"/>
  <c r="C42" i="1"/>
  <c r="C41" i="1" s="1"/>
  <c r="B42" i="1"/>
  <c r="B41" i="1" s="1"/>
  <c r="E37" i="1"/>
  <c r="D37" i="1"/>
  <c r="C37" i="1"/>
  <c r="B37" i="1"/>
  <c r="J36" i="1"/>
  <c r="I36" i="1"/>
  <c r="H36" i="1"/>
  <c r="E35" i="1"/>
  <c r="D35" i="1"/>
  <c r="C35" i="1"/>
  <c r="B35" i="1"/>
  <c r="J34" i="1"/>
  <c r="I34" i="1"/>
  <c r="J33" i="1"/>
  <c r="I33" i="1"/>
  <c r="J32" i="1"/>
  <c r="I32" i="1"/>
  <c r="H32" i="1"/>
  <c r="J31" i="1"/>
  <c r="I31" i="1"/>
  <c r="E30" i="1"/>
  <c r="D30" i="1"/>
  <c r="C30" i="1"/>
  <c r="B30" i="1"/>
  <c r="J29" i="1"/>
  <c r="I29" i="1"/>
  <c r="E28" i="1"/>
  <c r="D28" i="1"/>
  <c r="C28" i="1"/>
  <c r="B28" i="1"/>
  <c r="J27" i="1"/>
  <c r="I27" i="1"/>
  <c r="J25" i="1"/>
  <c r="I25" i="1"/>
  <c r="H25" i="1"/>
  <c r="J24" i="1"/>
  <c r="I24" i="1"/>
  <c r="H24" i="1"/>
  <c r="J23" i="1"/>
  <c r="I23" i="1"/>
  <c r="H23" i="1"/>
  <c r="E22" i="1"/>
  <c r="E21" i="1" s="1"/>
  <c r="D22" i="1"/>
  <c r="D21" i="1" s="1"/>
  <c r="C22" i="1"/>
  <c r="C21" i="1" s="1"/>
  <c r="B22" i="1"/>
  <c r="B21" i="1" s="1"/>
  <c r="J20" i="1"/>
  <c r="I20" i="1"/>
  <c r="H20" i="1"/>
  <c r="J18" i="1"/>
  <c r="I18" i="1"/>
  <c r="H18" i="1"/>
  <c r="J17" i="1"/>
  <c r="I17" i="1"/>
  <c r="H17" i="1"/>
  <c r="E16" i="1"/>
  <c r="D16" i="1"/>
  <c r="C16" i="1"/>
  <c r="B16" i="1"/>
  <c r="J13" i="1"/>
  <c r="I13" i="1"/>
  <c r="H13" i="1"/>
  <c r="J12" i="1"/>
  <c r="I12" i="1"/>
  <c r="H12" i="1"/>
  <c r="J11" i="1"/>
  <c r="I11" i="1"/>
  <c r="H11" i="1"/>
  <c r="E10" i="1"/>
  <c r="D10" i="1"/>
  <c r="C10" i="1"/>
  <c r="B10" i="1"/>
  <c r="J9" i="1"/>
  <c r="I9" i="1"/>
  <c r="H9" i="1"/>
  <c r="J8" i="1"/>
  <c r="I8" i="1"/>
  <c r="H8" i="1"/>
  <c r="E7" i="1"/>
  <c r="D7" i="1"/>
  <c r="C7" i="1"/>
  <c r="B7" i="1"/>
  <c r="J28" i="1" l="1"/>
  <c r="H42" i="1"/>
  <c r="J41" i="1"/>
  <c r="I42" i="1"/>
  <c r="H35" i="1"/>
  <c r="I35" i="1"/>
  <c r="B53" i="1"/>
  <c r="D53" i="1"/>
  <c r="J30" i="1"/>
  <c r="H30" i="1"/>
  <c r="E53" i="1"/>
  <c r="H22" i="1"/>
  <c r="J22" i="1"/>
  <c r="H16" i="1"/>
  <c r="J16" i="1"/>
  <c r="H10" i="1"/>
  <c r="E52" i="1"/>
  <c r="D52" i="1"/>
  <c r="C52" i="1"/>
  <c r="J10" i="1"/>
  <c r="B6" i="1"/>
  <c r="B40" i="1" s="1"/>
  <c r="J7" i="1"/>
  <c r="D6" i="1"/>
  <c r="D40" i="1" s="1"/>
  <c r="C6" i="1"/>
  <c r="C40" i="1" s="1"/>
  <c r="C53" i="1"/>
  <c r="E6" i="1"/>
  <c r="H7" i="1"/>
  <c r="J21" i="1"/>
  <c r="I22" i="1"/>
  <c r="I30" i="1"/>
  <c r="J35" i="1"/>
  <c r="J37" i="1"/>
  <c r="J42" i="1"/>
  <c r="B52" i="1"/>
  <c r="I7" i="1"/>
  <c r="I28" i="1"/>
  <c r="H41" i="1"/>
  <c r="I10" i="1"/>
  <c r="I16" i="1"/>
  <c r="H21" i="1"/>
  <c r="I41" i="1"/>
  <c r="I21" i="1"/>
  <c r="C49" i="1" l="1"/>
  <c r="C51" i="1" s="1"/>
  <c r="B49" i="1"/>
  <c r="B51" i="1" s="1"/>
  <c r="H53" i="1"/>
  <c r="I53" i="1"/>
  <c r="J53" i="1"/>
  <c r="I52" i="1"/>
  <c r="H52" i="1"/>
  <c r="J52" i="1"/>
  <c r="H6" i="1"/>
  <c r="D49" i="1"/>
  <c r="H40" i="1"/>
  <c r="E40" i="1"/>
  <c r="J6" i="1"/>
  <c r="I6" i="1"/>
  <c r="E49" i="1" l="1"/>
  <c r="J40" i="1"/>
  <c r="I40" i="1"/>
  <c r="F13" i="1"/>
  <c r="D51" i="1"/>
  <c r="H51" i="1" s="1"/>
  <c r="H49" i="1"/>
  <c r="F40" i="1" l="1"/>
  <c r="F47" i="1"/>
  <c r="J49" i="1"/>
  <c r="F48" i="1"/>
  <c r="F8" i="1"/>
  <c r="I49" i="1"/>
  <c r="F46" i="1"/>
  <c r="F45" i="1"/>
  <c r="F44" i="1"/>
  <c r="F31" i="1"/>
  <c r="F26" i="1"/>
  <c r="F25" i="1"/>
  <c r="F24" i="1"/>
  <c r="F23" i="1"/>
  <c r="F43" i="1"/>
  <c r="F38" i="1"/>
  <c r="F36" i="1"/>
  <c r="F34" i="1"/>
  <c r="F33" i="1"/>
  <c r="F32" i="1"/>
  <c r="F27" i="1"/>
  <c r="F9" i="1"/>
  <c r="F7" i="1"/>
  <c r="F20" i="1"/>
  <c r="F18" i="1"/>
  <c r="F17" i="1"/>
  <c r="F15" i="1"/>
  <c r="F14" i="1"/>
  <c r="F12" i="1"/>
  <c r="F11" i="1"/>
  <c r="F10" i="1"/>
  <c r="F35" i="1"/>
  <c r="F41" i="1"/>
  <c r="F49" i="1" s="1"/>
  <c r="F30" i="1"/>
  <c r="F16" i="1"/>
  <c r="F37" i="1"/>
  <c r="F21" i="1"/>
  <c r="F42" i="1"/>
  <c r="F22" i="1"/>
  <c r="F6" i="1"/>
  <c r="F37" i="2" l="1"/>
  <c r="D36" i="2"/>
  <c r="C36" i="2"/>
  <c r="B36" i="2"/>
  <c r="F33" i="2"/>
  <c r="E33" i="2"/>
  <c r="D32" i="2"/>
  <c r="C32" i="2"/>
  <c r="B32" i="2"/>
  <c r="F31" i="2"/>
  <c r="E31" i="2"/>
  <c r="D30" i="2"/>
  <c r="C30" i="2"/>
  <c r="B30" i="2"/>
  <c r="F29" i="2"/>
  <c r="E29" i="2"/>
  <c r="D28" i="2"/>
  <c r="C28" i="2"/>
  <c r="B28" i="2"/>
  <c r="F27" i="2"/>
  <c r="E27" i="2"/>
  <c r="D26" i="2"/>
  <c r="F26" i="2" s="1"/>
  <c r="C26" i="2"/>
  <c r="B26" i="2"/>
  <c r="F25" i="2"/>
  <c r="C24" i="2"/>
  <c r="B24" i="2"/>
  <c r="F22" i="2"/>
  <c r="E22" i="2"/>
  <c r="F21" i="2"/>
  <c r="E21" i="2"/>
  <c r="E20" i="2"/>
  <c r="F20" i="2"/>
  <c r="F19" i="2"/>
  <c r="E19" i="2"/>
  <c r="C18" i="2"/>
  <c r="B18" i="2"/>
  <c r="F17" i="2"/>
  <c r="E17" i="2"/>
  <c r="F16" i="2"/>
  <c r="E16" i="2"/>
  <c r="F15" i="2"/>
  <c r="E15" i="2"/>
  <c r="D14" i="2"/>
  <c r="C14" i="2"/>
  <c r="B14" i="2"/>
  <c r="F13" i="2"/>
  <c r="E13" i="2"/>
  <c r="D12" i="2"/>
  <c r="C12" i="2"/>
  <c r="B12" i="2"/>
  <c r="F11" i="2"/>
  <c r="E11" i="2"/>
  <c r="F10" i="2"/>
  <c r="E10" i="2"/>
  <c r="F8" i="2"/>
  <c r="E8" i="2"/>
  <c r="F7" i="2"/>
  <c r="E7" i="2"/>
  <c r="C6" i="2"/>
  <c r="B6" i="2"/>
  <c r="E14" i="2" l="1"/>
  <c r="B38" i="2"/>
  <c r="G26" i="2" s="1"/>
  <c r="C38" i="2"/>
  <c r="E24" i="2"/>
  <c r="E25" i="2"/>
  <c r="F14" i="2"/>
  <c r="F12" i="2"/>
  <c r="E12" i="2"/>
  <c r="D6" i="2"/>
  <c r="E26" i="2"/>
  <c r="E28" i="2"/>
  <c r="E30" i="2"/>
  <c r="E32" i="2"/>
  <c r="F28" i="2"/>
  <c r="F30" i="2"/>
  <c r="F32" i="2"/>
  <c r="F36" i="2"/>
  <c r="D18" i="2"/>
  <c r="E6" i="2" l="1"/>
  <c r="D38" i="2"/>
  <c r="F24" i="2"/>
  <c r="F6" i="2"/>
  <c r="F18" i="2"/>
  <c r="E18" i="2"/>
  <c r="G34" i="2" l="1"/>
  <c r="E50" i="1"/>
  <c r="G24" i="2"/>
  <c r="G6" i="2"/>
  <c r="F38" i="2"/>
  <c r="E38" i="2"/>
  <c r="G22" i="2"/>
  <c r="G36" i="2"/>
  <c r="G30" i="2"/>
  <c r="G14" i="2"/>
  <c r="G28" i="2"/>
  <c r="G32" i="2"/>
  <c r="G12" i="2"/>
  <c r="G18" i="2"/>
  <c r="J50" i="1" l="1"/>
  <c r="I50" i="1"/>
  <c r="E51" i="1"/>
  <c r="G38" i="2"/>
  <c r="J51" i="1" l="1"/>
  <c r="I51" i="1"/>
  <c r="H27" i="2"/>
  <c r="H49" i="2"/>
  <c r="H47" i="2"/>
  <c r="H45" i="2"/>
  <c r="H43" i="2"/>
  <c r="H40" i="2"/>
  <c r="H38" i="2"/>
  <c r="H31" i="2"/>
  <c r="H28" i="2"/>
  <c r="H22" i="2"/>
  <c r="H20" i="2"/>
  <c r="H19" i="2"/>
  <c r="H18" i="2" s="1"/>
  <c r="H15" i="2"/>
  <c r="H14" i="2"/>
  <c r="H10" i="2"/>
  <c r="H7" i="2" s="1"/>
  <c r="H26" i="2"/>
  <c r="H24" i="2" s="1"/>
  <c r="H51" i="2" l="1"/>
  <c r="H54" i="2" s="1"/>
</calcChain>
</file>

<file path=xl/sharedStrings.xml><?xml version="1.0" encoding="utf-8"?>
<sst xmlns="http://schemas.openxmlformats.org/spreadsheetml/2006/main" count="105" uniqueCount="99">
  <si>
    <t>Утверждено</t>
  </si>
  <si>
    <t>Уточнено</t>
  </si>
  <si>
    <t>Налоги на совокупный доход</t>
  </si>
  <si>
    <t>Налоги на имущество</t>
  </si>
  <si>
    <t>Штрафы, санкции, возмещение ущерба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</si>
  <si>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</si>
  <si>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</si>
  <si>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</si>
  <si>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</si>
  <si>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</si>
  <si>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</si>
  <si>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</si>
  <si>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</si>
  <si>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</si>
  <si>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</si>
  <si>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Доходы от продажи материальных и нематериальных активов</t>
  </si>
  <si>
    <t>Налоги на прибыль, доход</t>
  </si>
  <si>
    <t>1.Налог на доходы физических лиц</t>
  </si>
  <si>
    <t>план на год</t>
  </si>
  <si>
    <t>утверждено</t>
  </si>
  <si>
    <t>уточнено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</si>
  <si>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</si>
  <si>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</si>
  <si>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Другие общегосударственные вопросы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</si>
  <si>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</si>
  <si>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</si>
  <si>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</si>
  <si>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</si>
  <si>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Молодежная политика и оздоровление детей</t>
  </si>
  <si>
    <t>Периодическая печать и издательства</t>
  </si>
  <si>
    <t>Физическая культура и спорт</t>
  </si>
  <si>
    <t>Показатели бюджета МО ГП город Боровск</t>
  </si>
  <si>
    <t>Удель-
ный
 вес,%</t>
  </si>
  <si>
    <t>% выпол. к плану года</t>
  </si>
  <si>
    <t>Общегосударственные вопросы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</si>
  <si>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</si>
  <si>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Национальная безопасность и правоохранит.деятельность</t>
  </si>
  <si>
    <t>Национальная экономика</t>
  </si>
  <si>
    <t xml:space="preserve">Транспорт </t>
  </si>
  <si>
    <t>Дорожное хозяйство</t>
  </si>
  <si>
    <t>Жил-ком. хоз-во</t>
  </si>
  <si>
    <t>Образование</t>
  </si>
  <si>
    <t>Социальная политика</t>
  </si>
  <si>
    <t>Другие вопросы  в области социальной политики</t>
  </si>
  <si>
    <t>Физическая культура</t>
  </si>
  <si>
    <t>Средства массовой информации</t>
  </si>
  <si>
    <t>Ожидаемое исполнение на конец года</t>
  </si>
  <si>
    <t>НАЛОГОВЫЕ/ НЕНАЛОГОВЫЕ ДОХОДЫ</t>
  </si>
  <si>
    <t>Акцизы по подакцизным товарам</t>
  </si>
  <si>
    <t xml:space="preserve">   - на имущество физических лиц</t>
  </si>
  <si>
    <t xml:space="preserve">  - земельный налог с юридических лиц</t>
  </si>
  <si>
    <t xml:space="preserve">  - земельный налог с физических лиц</t>
  </si>
  <si>
    <t>Доходы от использ.имущ.муниц.собcтвенности</t>
  </si>
  <si>
    <t>Доходы от использования имущества</t>
  </si>
  <si>
    <t xml:space="preserve">  арендная плата за землю собст.МО</t>
  </si>
  <si>
    <t xml:space="preserve">  арендная плата за имущество</t>
  </si>
  <si>
    <t xml:space="preserve"> -арендная плата за земли до разграничения</t>
  </si>
  <si>
    <t>Платежи от МУПов</t>
  </si>
  <si>
    <t>Прочие доходы от использ.имущ.</t>
  </si>
  <si>
    <t>Доходы от оказания платных услуг</t>
  </si>
  <si>
    <t>- от реализации имущества собст МО</t>
  </si>
  <si>
    <t xml:space="preserve"> -от реализации земли до разграничения</t>
  </si>
  <si>
    <t>-от реализации зем.участков собстМО</t>
  </si>
  <si>
    <t>Прочие поступлен.от денежных взыск.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</si>
  <si>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</si>
  <si>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</si>
  <si>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</si>
  <si>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</si>
  <si>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Прочие безвозмездные поступления</t>
  </si>
  <si>
    <t>ВСЕГО ДОХОДОВ</t>
  </si>
  <si>
    <t>Другие вопросы  в области национальной экономики</t>
  </si>
  <si>
    <t>Культура, кинематография</t>
  </si>
  <si>
    <t>Культура</t>
  </si>
  <si>
    <t>Межбюджетные трансферты общего характера бюджетам бюджетной системы Российской Федерации</t>
  </si>
  <si>
    <t>доходы от компенсации затрат государству</t>
  </si>
  <si>
    <t>(руб.)</t>
  </si>
  <si>
    <t>Наименование</t>
  </si>
  <si>
    <t>от перераспределения  земельных участков до разграничения</t>
  </si>
  <si>
    <t>Удельный вес,%</t>
  </si>
  <si>
    <t>Обеспечение проведения выборов и референдумов</t>
  </si>
  <si>
    <t>Инициативные платежи</t>
  </si>
  <si>
    <t xml:space="preserve">Налог, взимаемый с налогоплательщиков,выбравших в качестве налогообложения доходы </t>
  </si>
  <si>
    <t>Налог, взимаемый с налогоплательщиков,выбравших в качестве налогообложения доходы , уменьшенные на величину расходов</t>
  </si>
  <si>
    <t>Ед.сельскохозяйственный налог</t>
  </si>
  <si>
    <t>Минимальный налог</t>
  </si>
  <si>
    <t>Налог на профессиональный доход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</si>
  <si>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</si>
  <si>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</si>
  <si>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(муниципального)внутреннего долга</t>
  </si>
  <si>
    <t>Исполнено за янв-сент 2023 года</t>
  </si>
  <si>
    <t>Ожидаемое исполнение  доходной части и дефицита бюджета муниципального образования городское поселение город Боровск на 2024г</t>
  </si>
  <si>
    <t>Исполнение 2024г.к 2023г.</t>
  </si>
  <si>
    <t>% исполнения отчетного периода к плану 2024 года</t>
  </si>
  <si>
    <t>План на 2024 год</t>
  </si>
  <si>
    <t>Исполнено за янв-сент 2024 года</t>
  </si>
  <si>
    <t>Ожидаемое исполнение 2024 года</t>
  </si>
  <si>
    <t>-  земельный налог (по обязательствам, возникшим до 1 января 2006 года)</t>
  </si>
  <si>
    <t xml:space="preserve">Возврат </t>
  </si>
  <si>
    <t>ОЖИДАЕМОЕ ИСПОЛНЕНИЕ РАСХОДНОЙ ЧАСТИ БЮДЖЕТА МУНИЦИПАЛЬНОГО ОБРАЗОВАНИЯ ГОРОДСКОЕ ПОСЕЛЕНИЕ ГОРОД БОРОВСК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</si>
</sst>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 Cyr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 Cyr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 Cyr"/>
    </font>
    <font>
      <sz val="11"/>
      <name val="Calibri"/>
      <family val="2"/>
      <charset val="204"/>
      <scheme val="minor"/>
    </font>
    <font>
      <sz val="9"/>
      <name val="Arial Cyr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8"/>
      <color rgb="FF002060"/>
      <name val="Arial Cyr"/>
    </font>
    <font>
      <sz val="9"/>
      <color rgb="FF002060"/>
      <name val="Arial Cyr"/>
    </font>
    <font>
      <sz val="9"/>
      <color rgb="FF00206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9"/>
      <color rgb="FF002060"/>
      <name val="Times New Roman"/>
      <family val="1"/>
      <charset val="204"/>
    </font>
    <font>
      <b/>
      <sz val="9"/>
      <name val="Arial Cyr"/>
    </font>
    <font>
      <sz val="10"/>
      <color theme="3" tint="-0.499984740745262"/>
      <name val="Times New Roman"/>
      <family val="1"/>
      <charset val="204"/>
    </font>
    <font>
      <b/>
      <sz val="8"/>
      <color rgb="FF000000"/>
      <name val="Arial Cyr"/>
      <charset val="204"/>
    </font>
    <font>
      <sz val="10"/>
      <color theme="5" tint="-0.499984740745262"/>
      <name val="Times New Roman"/>
      <family val="1"/>
      <charset val="204"/>
    </font>
    <font>
      <sz val="8"/>
      <color theme="5" tint="-0.499984740745262"/>
      <name val="Arial Cyr"/>
    </font>
    <font>
      <b/>
      <sz val="10"/>
      <color theme="5" tint="-0.499984740745262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8"/>
      <color rgb="FF0000CC"/>
      <name val="Arial Cyr"/>
    </font>
    <font>
      <sz val="10"/>
      <color rgb="FF0000CC"/>
      <name val="Times New Roman"/>
      <family val="1"/>
      <charset val="204"/>
    </font>
    <font>
      <sz val="9"/>
      <color rgb="FF0000CC"/>
      <name val="Times New Roman"/>
      <family val="1"/>
      <charset val="204"/>
    </font>
    <font>
      <sz val="9"/>
      <color rgb="FF0000CC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3">
      <alignment horizontal="left" wrapText="1" indent="2"/>
    </xf>
    <xf numFmtId="0" fontId="5" fillId="0" borderId="0"/>
    <xf numFmtId="0" fontId="7" fillId="0" borderId="0"/>
    <xf numFmtId="4" fontId="3" fillId="0" borderId="13">
      <alignment horizontal="right" shrinkToFit="1"/>
    </xf>
    <xf numFmtId="4" fontId="3" fillId="0" borderId="13">
      <alignment horizontal="right" wrapText="1"/>
    </xf>
    <xf numFmtId="4" fontId="3" fillId="0" borderId="13">
      <alignment horizontal="right" wrapText="1"/>
    </xf>
    <xf numFmtId="4" fontId="13" fillId="0" borderId="16">
      <alignment horizontal="right" shrinkToFit="1"/>
    </xf>
  </cellStyleXfs>
  <cellXfs count="132">
    <xf numFmtId="0" fontId="0" fillId="0" borderId="0" xfId="0"/>
    <xf numFmtId="0" fontId="2" fillId="2" borderId="2" xfId="2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4" fontId="2" fillId="2" borderId="2" xfId="2" applyNumberFormat="1" applyFont="1" applyFill="1" applyBorder="1" applyAlignment="1">
      <alignment vertical="center" wrapText="1"/>
    </xf>
    <xf numFmtId="4" fontId="1" fillId="2" borderId="2" xfId="2" applyNumberFormat="1" applyFont="1" applyFill="1" applyBorder="1" applyAlignment="1">
      <alignment vertical="center" wrapText="1"/>
    </xf>
    <xf numFmtId="0" fontId="11" fillId="2" borderId="2" xfId="2" applyFont="1" applyFill="1" applyBorder="1" applyAlignment="1">
      <alignment horizontal="left" vertical="center" wrapText="1"/>
    </xf>
    <xf numFmtId="4" fontId="11" fillId="2" borderId="2" xfId="2" applyNumberFormat="1" applyFont="1" applyFill="1" applyBorder="1" applyAlignment="1">
      <alignment vertical="center" wrapText="1"/>
    </xf>
    <xf numFmtId="0" fontId="12" fillId="2" borderId="2" xfId="2" applyFont="1" applyFill="1" applyBorder="1" applyAlignment="1">
      <alignment horizontal="left" vertical="center" wrapText="1"/>
    </xf>
    <xf numFmtId="0" fontId="2" fillId="0" borderId="0" xfId="2" applyFont="1" applyAlignment="1">
      <alignment horizontal="left"/>
    </xf>
    <xf numFmtId="0" fontId="2" fillId="0" borderId="0" xfId="2" applyFont="1"/>
    <xf numFmtId="2" fontId="2" fillId="2" borderId="2" xfId="2" applyNumberFormat="1" applyFont="1" applyFill="1" applyBorder="1" applyAlignment="1">
      <alignment vertical="center" wrapText="1"/>
    </xf>
    <xf numFmtId="0" fontId="6" fillId="0" borderId="0" xfId="2" applyFont="1"/>
    <xf numFmtId="2" fontId="6" fillId="2" borderId="2" xfId="2" applyNumberFormat="1" applyFont="1" applyFill="1" applyBorder="1" applyAlignment="1">
      <alignment vertical="center" wrapText="1"/>
    </xf>
    <xf numFmtId="4" fontId="4" fillId="2" borderId="2" xfId="2" applyNumberFormat="1" applyFont="1" applyFill="1" applyBorder="1" applyAlignment="1">
      <alignment vertical="center" wrapText="1"/>
    </xf>
    <xf numFmtId="4" fontId="6" fillId="2" borderId="2" xfId="2" applyNumberFormat="1" applyFont="1" applyFill="1" applyBorder="1" applyAlignment="1">
      <alignment vertical="center" wrapText="1"/>
    </xf>
    <xf numFmtId="4" fontId="12" fillId="2" borderId="2" xfId="2" applyNumberFormat="1" applyFont="1" applyFill="1" applyBorder="1" applyAlignment="1">
      <alignment vertical="center" wrapText="1"/>
    </xf>
    <xf numFmtId="0" fontId="2" fillId="0" borderId="0" xfId="2" applyFont="1" applyAlignment="1">
      <alignment vertical="center"/>
    </xf>
    <xf numFmtId="0" fontId="1" fillId="2" borderId="2" xfId="2" applyFont="1" applyFill="1" applyBorder="1" applyAlignment="1">
      <alignment horizontal="left" vertical="center" wrapText="1"/>
    </xf>
    <xf numFmtId="4" fontId="1" fillId="3" borderId="2" xfId="2" applyNumberFormat="1" applyFont="1" applyFill="1" applyBorder="1" applyAlignment="1">
      <alignment vertical="center" wrapText="1"/>
    </xf>
    <xf numFmtId="4" fontId="4" fillId="3" borderId="2" xfId="2" applyNumberFormat="1" applyFont="1" applyFill="1" applyBorder="1" applyAlignment="1">
      <alignment vertical="center" wrapText="1"/>
    </xf>
    <xf numFmtId="4" fontId="2" fillId="2" borderId="0" xfId="0" applyNumberFormat="1" applyFont="1" applyFill="1"/>
    <xf numFmtId="0" fontId="2" fillId="2" borderId="0" xfId="0" applyFont="1" applyFill="1"/>
    <xf numFmtId="0" fontId="1" fillId="3" borderId="2" xfId="2" applyFont="1" applyFill="1" applyBorder="1" applyAlignment="1">
      <alignment horizontal="left" vertical="center" wrapText="1"/>
    </xf>
    <xf numFmtId="0" fontId="12" fillId="2" borderId="0" xfId="0" applyFont="1" applyFill="1"/>
    <xf numFmtId="0" fontId="2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Alignment="1">
      <alignment vertical="center"/>
    </xf>
    <xf numFmtId="4" fontId="6" fillId="0" borderId="0" xfId="0" applyNumberFormat="1" applyFont="1"/>
    <xf numFmtId="4" fontId="2" fillId="0" borderId="0" xfId="0" applyNumberFormat="1" applyFont="1" applyAlignment="1">
      <alignment vertical="center"/>
    </xf>
    <xf numFmtId="4" fontId="2" fillId="2" borderId="2" xfId="2" applyNumberFormat="1" applyFont="1" applyFill="1" applyBorder="1" applyAlignment="1">
      <alignment horizontal="right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1" fillId="3" borderId="2" xfId="2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2" fontId="6" fillId="3" borderId="2" xfId="2" applyNumberFormat="1" applyFont="1" applyFill="1" applyBorder="1" applyAlignment="1">
      <alignment vertical="center" wrapText="1"/>
    </xf>
    <xf numFmtId="2" fontId="2" fillId="3" borderId="2" xfId="2" applyNumberFormat="1" applyFont="1" applyFill="1" applyBorder="1" applyAlignment="1">
      <alignment vertical="center" wrapText="1"/>
    </xf>
    <xf numFmtId="4" fontId="1" fillId="3" borderId="4" xfId="0" applyNumberFormat="1" applyFont="1" applyFill="1" applyBorder="1"/>
    <xf numFmtId="4" fontId="2" fillId="3" borderId="5" xfId="0" applyNumberFormat="1" applyFont="1" applyFill="1" applyBorder="1"/>
    <xf numFmtId="4" fontId="1" fillId="3" borderId="5" xfId="0" applyNumberFormat="1" applyFont="1" applyFill="1" applyBorder="1"/>
    <xf numFmtId="0" fontId="1" fillId="3" borderId="0" xfId="0" applyFont="1" applyFill="1"/>
    <xf numFmtId="165" fontId="9" fillId="3" borderId="2" xfId="3" applyNumberFormat="1" applyFont="1" applyFill="1" applyBorder="1" applyAlignment="1">
      <alignment horizontal="center" vertical="center"/>
    </xf>
    <xf numFmtId="165" fontId="10" fillId="3" borderId="2" xfId="3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/>
    <xf numFmtId="4" fontId="2" fillId="3" borderId="12" xfId="0" applyNumberFormat="1" applyFont="1" applyFill="1" applyBorder="1"/>
    <xf numFmtId="4" fontId="2" fillId="3" borderId="0" xfId="0" applyNumberFormat="1" applyFont="1" applyFill="1" applyBorder="1"/>
    <xf numFmtId="165" fontId="2" fillId="3" borderId="0" xfId="0" applyNumberFormat="1" applyFont="1" applyFill="1" applyBorder="1"/>
    <xf numFmtId="0" fontId="2" fillId="3" borderId="0" xfId="0" applyFont="1" applyFill="1" applyBorder="1"/>
    <xf numFmtId="4" fontId="1" fillId="3" borderId="0" xfId="0" applyNumberFormat="1" applyFont="1" applyFill="1" applyBorder="1"/>
    <xf numFmtId="164" fontId="1" fillId="3" borderId="0" xfId="0" applyNumberFormat="1" applyFont="1" applyFill="1" applyBorder="1"/>
    <xf numFmtId="4" fontId="1" fillId="3" borderId="6" xfId="0" applyNumberFormat="1" applyFont="1" applyFill="1" applyBorder="1"/>
    <xf numFmtId="2" fontId="2" fillId="3" borderId="0" xfId="0" applyNumberFormat="1" applyFont="1" applyFill="1" applyBorder="1"/>
    <xf numFmtId="2" fontId="2" fillId="3" borderId="0" xfId="0" applyNumberFormat="1" applyFont="1" applyFill="1"/>
    <xf numFmtId="4" fontId="2" fillId="3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10" fillId="2" borderId="2" xfId="3" applyFont="1" applyFill="1" applyBorder="1" applyAlignment="1">
      <alignment horizontal="center" vertical="center" wrapText="1"/>
    </xf>
    <xf numFmtId="0" fontId="8" fillId="2" borderId="2" xfId="3" applyFont="1" applyFill="1" applyBorder="1" applyAlignment="1">
      <alignment vertical="center" wrapText="1"/>
    </xf>
    <xf numFmtId="4" fontId="4" fillId="2" borderId="2" xfId="3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4" fontId="6" fillId="2" borderId="2" xfId="3" applyNumberFormat="1" applyFont="1" applyFill="1" applyBorder="1" applyAlignment="1">
      <alignment vertical="center"/>
    </xf>
    <xf numFmtId="4" fontId="6" fillId="2" borderId="2" xfId="3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vertical="center"/>
    </xf>
    <xf numFmtId="0" fontId="9" fillId="2" borderId="2" xfId="3" applyFont="1" applyFill="1" applyBorder="1" applyAlignment="1">
      <alignment vertical="center" wrapText="1"/>
    </xf>
    <xf numFmtId="4" fontId="4" fillId="2" borderId="2" xfId="3" applyNumberFormat="1" applyFont="1" applyFill="1" applyBorder="1" applyAlignment="1">
      <alignment vertical="center"/>
    </xf>
    <xf numFmtId="2" fontId="4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vertical="center"/>
    </xf>
    <xf numFmtId="0" fontId="10" fillId="2" borderId="8" xfId="0" applyFont="1" applyFill="1" applyBorder="1" applyAlignment="1">
      <alignment vertical="center" wrapText="1"/>
    </xf>
    <xf numFmtId="4" fontId="6" fillId="2" borderId="8" xfId="3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4" fontId="6" fillId="2" borderId="11" xfId="3" applyNumberFormat="1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4" fontId="4" fillId="2" borderId="10" xfId="3" applyNumberFormat="1" applyFont="1" applyFill="1" applyBorder="1" applyAlignment="1">
      <alignment horizontal="center" vertical="center"/>
    </xf>
    <xf numFmtId="4" fontId="15" fillId="2" borderId="17" xfId="6" applyNumberFormat="1" applyFont="1" applyFill="1" applyBorder="1" applyAlignment="1" applyProtection="1">
      <alignment horizontal="right" vertical="center" wrapText="1"/>
    </xf>
    <xf numFmtId="1" fontId="4" fillId="2" borderId="18" xfId="0" applyNumberFormat="1" applyFont="1" applyFill="1" applyBorder="1" applyAlignment="1">
      <alignment horizontal="center" vertical="center"/>
    </xf>
    <xf numFmtId="0" fontId="18" fillId="2" borderId="2" xfId="2" applyFont="1" applyFill="1" applyBorder="1" applyAlignment="1">
      <alignment horizontal="left" vertical="center" wrapText="1"/>
    </xf>
    <xf numFmtId="4" fontId="19" fillId="0" borderId="13" xfId="4" applyFont="1" applyAlignment="1" applyProtection="1">
      <alignment horizontal="right" vertical="center" shrinkToFit="1"/>
    </xf>
    <xf numFmtId="4" fontId="20" fillId="0" borderId="13" xfId="4" applyFont="1" applyAlignment="1" applyProtection="1">
      <alignment horizontal="right" vertical="center" shrinkToFit="1"/>
    </xf>
    <xf numFmtId="2" fontId="21" fillId="2" borderId="2" xfId="2" applyNumberFormat="1" applyFont="1" applyFill="1" applyBorder="1" applyAlignment="1">
      <alignment vertical="center" wrapText="1"/>
    </xf>
    <xf numFmtId="2" fontId="18" fillId="2" borderId="2" xfId="2" applyNumberFormat="1" applyFont="1" applyFill="1" applyBorder="1" applyAlignment="1">
      <alignment vertical="center" wrapText="1"/>
    </xf>
    <xf numFmtId="0" fontId="22" fillId="2" borderId="2" xfId="2" applyFont="1" applyFill="1" applyBorder="1" applyAlignment="1">
      <alignment horizontal="left" vertical="center" wrapText="1"/>
    </xf>
    <xf numFmtId="4" fontId="22" fillId="2" borderId="2" xfId="2" applyNumberFormat="1" applyFont="1" applyFill="1" applyBorder="1" applyAlignment="1">
      <alignment vertical="center" wrapText="1"/>
    </xf>
    <xf numFmtId="4" fontId="23" fillId="2" borderId="2" xfId="2" applyNumberFormat="1" applyFont="1" applyFill="1" applyBorder="1" applyAlignment="1">
      <alignment vertical="center" wrapText="1"/>
    </xf>
    <xf numFmtId="4" fontId="18" fillId="2" borderId="2" xfId="2" applyNumberFormat="1" applyFont="1" applyFill="1" applyBorder="1" applyAlignment="1">
      <alignment vertical="center" wrapText="1"/>
    </xf>
    <xf numFmtId="4" fontId="21" fillId="2" borderId="2" xfId="2" applyNumberFormat="1" applyFont="1" applyFill="1" applyBorder="1" applyAlignment="1">
      <alignment vertical="center" wrapText="1"/>
    </xf>
    <xf numFmtId="0" fontId="18" fillId="2" borderId="0" xfId="0" applyFont="1" applyFill="1"/>
    <xf numFmtId="4" fontId="19" fillId="2" borderId="2" xfId="7" applyNumberFormat="1" applyFont="1" applyFill="1" applyBorder="1" applyProtection="1">
      <alignment horizontal="right" shrinkToFit="1"/>
    </xf>
    <xf numFmtId="4" fontId="19" fillId="2" borderId="13" xfId="4" applyFont="1" applyFill="1" applyAlignment="1" applyProtection="1">
      <alignment horizontal="right" vertical="center" shrinkToFit="1"/>
    </xf>
    <xf numFmtId="4" fontId="20" fillId="2" borderId="13" xfId="4" applyFont="1" applyFill="1" applyAlignment="1" applyProtection="1">
      <alignment horizontal="right" vertical="center" shrinkToFit="1"/>
    </xf>
    <xf numFmtId="4" fontId="19" fillId="2" borderId="2" xfId="7" applyNumberFormat="1" applyFont="1" applyFill="1" applyBorder="1" applyAlignment="1" applyProtection="1">
      <alignment horizontal="right" vertical="center" shrinkToFit="1"/>
    </xf>
    <xf numFmtId="0" fontId="9" fillId="2" borderId="8" xfId="0" applyFont="1" applyFill="1" applyBorder="1" applyAlignment="1">
      <alignment vertical="center" wrapText="1"/>
    </xf>
    <xf numFmtId="4" fontId="24" fillId="2" borderId="13" xfId="6" applyNumberFormat="1" applyFont="1" applyFill="1" applyAlignment="1" applyProtection="1">
      <alignment horizontal="right" vertical="center" wrapText="1"/>
    </xf>
    <xf numFmtId="4" fontId="4" fillId="2" borderId="8" xfId="3" applyNumberFormat="1" applyFont="1" applyFill="1" applyBorder="1" applyAlignment="1">
      <alignment horizontal="center" vertical="center"/>
    </xf>
    <xf numFmtId="4" fontId="3" fillId="0" borderId="13" xfId="4" applyAlignment="1" applyProtection="1">
      <alignment horizontal="right" vertical="center" shrinkToFit="1"/>
    </xf>
    <xf numFmtId="4" fontId="25" fillId="2" borderId="2" xfId="2" applyNumberFormat="1" applyFont="1" applyFill="1" applyBorder="1" applyAlignment="1">
      <alignment vertical="center" wrapText="1"/>
    </xf>
    <xf numFmtId="4" fontId="26" fillId="0" borderId="13" xfId="4" applyFont="1" applyAlignment="1" applyProtection="1">
      <alignment horizontal="right" vertical="center" shrinkToFit="1"/>
    </xf>
    <xf numFmtId="4" fontId="28" fillId="0" borderId="13" xfId="4" applyFont="1" applyAlignment="1" applyProtection="1">
      <alignment horizontal="right" vertical="center" shrinkToFit="1"/>
    </xf>
    <xf numFmtId="4" fontId="29" fillId="2" borderId="2" xfId="2" applyNumberFormat="1" applyFont="1" applyFill="1" applyBorder="1" applyAlignment="1">
      <alignment vertical="center" wrapText="1"/>
    </xf>
    <xf numFmtId="4" fontId="3" fillId="0" borderId="13" xfId="6" applyNumberFormat="1" applyFont="1" applyAlignment="1" applyProtection="1">
      <alignment horizontal="right" vertical="center" wrapText="1"/>
    </xf>
    <xf numFmtId="4" fontId="27" fillId="2" borderId="2" xfId="2" applyNumberFormat="1" applyFont="1" applyFill="1" applyBorder="1" applyAlignment="1">
      <alignment vertical="center" wrapText="1"/>
    </xf>
    <xf numFmtId="4" fontId="28" fillId="2" borderId="13" xfId="4" applyFont="1" applyFill="1" applyAlignment="1" applyProtection="1">
      <alignment horizontal="right" vertical="center" shrinkToFit="1"/>
    </xf>
    <xf numFmtId="4" fontId="28" fillId="2" borderId="2" xfId="7" applyNumberFormat="1" applyFont="1" applyFill="1" applyBorder="1" applyAlignment="1" applyProtection="1">
      <alignment horizontal="right" vertical="center" shrinkToFit="1"/>
    </xf>
    <xf numFmtId="4" fontId="28" fillId="2" borderId="2" xfId="7" applyNumberFormat="1" applyFont="1" applyFill="1" applyBorder="1" applyProtection="1">
      <alignment horizontal="right" shrinkToFit="1"/>
    </xf>
    <xf numFmtId="49" fontId="6" fillId="2" borderId="2" xfId="2" applyNumberFormat="1" applyFont="1" applyFill="1" applyBorder="1" applyAlignment="1">
      <alignment horizontal="left" vertical="center" wrapText="1"/>
    </xf>
    <xf numFmtId="4" fontId="30" fillId="2" borderId="2" xfId="2" applyNumberFormat="1" applyFont="1" applyFill="1" applyBorder="1" applyAlignment="1">
      <alignment vertical="center" wrapText="1"/>
    </xf>
    <xf numFmtId="4" fontId="31" fillId="2" borderId="2" xfId="2" applyNumberFormat="1" applyFont="1" applyFill="1" applyBorder="1" applyAlignment="1">
      <alignment vertical="center" wrapText="1"/>
    </xf>
    <xf numFmtId="0" fontId="31" fillId="2" borderId="2" xfId="2" applyFont="1" applyFill="1" applyBorder="1" applyAlignment="1">
      <alignment horizontal="left" vertical="center" wrapText="1"/>
    </xf>
    <xf numFmtId="4" fontId="32" fillId="0" borderId="13" xfId="4" applyFont="1" applyAlignment="1" applyProtection="1">
      <alignment horizontal="right" vertical="center" shrinkToFit="1"/>
    </xf>
    <xf numFmtId="4" fontId="22" fillId="4" borderId="2" xfId="2" applyNumberFormat="1" applyFont="1" applyFill="1" applyBorder="1" applyAlignment="1">
      <alignment horizontal="right" vertical="center" wrapText="1"/>
    </xf>
    <xf numFmtId="0" fontId="1" fillId="5" borderId="2" xfId="2" applyFont="1" applyFill="1" applyBorder="1" applyAlignment="1">
      <alignment horizontal="left" vertical="center" wrapText="1"/>
    </xf>
    <xf numFmtId="4" fontId="22" fillId="5" borderId="2" xfId="2" applyNumberFormat="1" applyFont="1" applyFill="1" applyBorder="1" applyAlignment="1">
      <alignment horizontal="right" vertical="center" wrapText="1"/>
    </xf>
    <xf numFmtId="4" fontId="33" fillId="4" borderId="2" xfId="2" applyNumberFormat="1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vertical="center"/>
    </xf>
    <xf numFmtId="4" fontId="34" fillId="0" borderId="13" xfId="4" applyFont="1" applyAlignment="1" applyProtection="1">
      <alignment horizontal="right" vertical="center" shrinkToFit="1"/>
    </xf>
    <xf numFmtId="0" fontId="17" fillId="0" borderId="0" xfId="2" applyFont="1" applyAlignment="1">
      <alignment horizontal="center" vertical="center" wrapText="1"/>
    </xf>
    <xf numFmtId="0" fontId="2" fillId="0" borderId="14" xfId="2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10" fillId="2" borderId="7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35" fillId="0" borderId="2" xfId="2" applyFont="1" applyBorder="1" applyAlignment="1">
      <alignment horizontal="left" vertical="center" wrapText="1"/>
    </xf>
    <xf numFmtId="0" fontId="35" fillId="0" borderId="2" xfId="2" applyFont="1" applyBorder="1" applyAlignment="1">
      <alignment horizontal="center" vertical="center" wrapText="1"/>
    </xf>
    <xf numFmtId="0" fontId="36" fillId="0" borderId="8" xfId="2" applyFont="1" applyBorder="1" applyAlignment="1">
      <alignment horizontal="center" vertical="center" wrapText="1"/>
    </xf>
    <xf numFmtId="0" fontId="36" fillId="0" borderId="2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6" fillId="0" borderId="2" xfId="2" applyFont="1" applyBorder="1" applyAlignment="1">
      <alignment horizontal="center" vertical="center" wrapText="1"/>
    </xf>
  </cellXfs>
  <cellStyles count="8">
    <cellStyle name="xl32" xfId="1"/>
    <cellStyle name="xl50" xfId="7"/>
    <cellStyle name="xl51" xfId="4"/>
    <cellStyle name="xl83" xfId="6"/>
    <cellStyle name="xl84" xfId="5"/>
    <cellStyle name="Обычный" xfId="0" builtinId="0"/>
    <cellStyle name="Обычный 2" xfId="2"/>
    <cellStyle name="Обычный_ZAHET" xfId="3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D11" sqref="D11"/>
    </sheetView>
  </sheetViews>
  <sheetFormatPr defaultRowHeight="12.75" x14ac:dyDescent="0.2"/>
  <cols>
    <col min="1" max="1" width="31.28515625" style="25" customWidth="1"/>
    <col min="2" max="2" width="14" style="2" customWidth="1"/>
    <col min="3" max="3" width="13.42578125" style="2" bestFit="1" customWidth="1"/>
    <col min="4" max="4" width="14.140625" style="2" customWidth="1"/>
    <col min="5" max="5" width="14.28515625" style="2" customWidth="1"/>
    <col min="6" max="6" width="6.85546875" style="26" customWidth="1"/>
    <col min="7" max="7" width="13.42578125" style="27" bestFit="1" customWidth="1"/>
    <col min="8" max="8" width="9.5703125" style="26" customWidth="1"/>
    <col min="9" max="9" width="9.7109375" style="2" bestFit="1" customWidth="1"/>
    <col min="10" max="10" width="7.85546875" style="2" bestFit="1" customWidth="1"/>
    <col min="11" max="11" width="21" style="2" customWidth="1"/>
    <col min="12" max="12" width="21.5703125" style="2" customWidth="1"/>
    <col min="13" max="13" width="12.28515625" style="2" customWidth="1"/>
    <col min="14" max="14" width="12" style="2" customWidth="1"/>
    <col min="15" max="16384" width="9.140625" style="2"/>
  </cols>
  <sheetData>
    <row r="1" spans="1:14" x14ac:dyDescent="0.2">
      <c r="A1" s="113" t="s">
        <v>90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4" ht="17.25" customHeight="1" x14ac:dyDescent="0.2">
      <c r="A2" s="113"/>
      <c r="B2" s="113"/>
      <c r="C2" s="113"/>
      <c r="D2" s="113"/>
      <c r="E2" s="113"/>
      <c r="F2" s="113"/>
      <c r="G2" s="113"/>
      <c r="H2" s="113"/>
      <c r="I2" s="113"/>
      <c r="J2" s="113"/>
    </row>
    <row r="3" spans="1:14" ht="11.25" customHeight="1" x14ac:dyDescent="0.2">
      <c r="A3" s="9"/>
      <c r="B3" s="10"/>
      <c r="C3" s="10"/>
      <c r="D3" s="10"/>
      <c r="E3" s="10"/>
      <c r="F3" s="12"/>
      <c r="G3" s="17"/>
      <c r="H3" s="12"/>
      <c r="I3" s="114" t="s">
        <v>75</v>
      </c>
      <c r="J3" s="115"/>
    </row>
    <row r="4" spans="1:14" ht="61.5" customHeight="1" x14ac:dyDescent="0.2">
      <c r="A4" s="125" t="s">
        <v>76</v>
      </c>
      <c r="B4" s="126" t="s">
        <v>93</v>
      </c>
      <c r="C4" s="126"/>
      <c r="D4" s="126" t="s">
        <v>94</v>
      </c>
      <c r="E4" s="126" t="s">
        <v>95</v>
      </c>
      <c r="F4" s="127" t="s">
        <v>78</v>
      </c>
      <c r="G4" s="126" t="s">
        <v>89</v>
      </c>
      <c r="H4" s="128" t="s">
        <v>91</v>
      </c>
      <c r="I4" s="126" t="s">
        <v>92</v>
      </c>
      <c r="J4" s="126"/>
    </row>
    <row r="5" spans="1:14" ht="33" customHeight="1" x14ac:dyDescent="0.2">
      <c r="A5" s="125"/>
      <c r="B5" s="129" t="s">
        <v>0</v>
      </c>
      <c r="C5" s="129" t="s">
        <v>1</v>
      </c>
      <c r="D5" s="126"/>
      <c r="E5" s="126"/>
      <c r="F5" s="130"/>
      <c r="G5" s="126"/>
      <c r="H5" s="128"/>
      <c r="I5" s="131" t="s">
        <v>19</v>
      </c>
      <c r="J5" s="131" t="s">
        <v>20</v>
      </c>
    </row>
    <row r="6" spans="1:14" s="22" customFormat="1" ht="25.5" x14ac:dyDescent="0.2">
      <c r="A6" s="18" t="s">
        <v>47</v>
      </c>
      <c r="B6" s="5">
        <f>B7+B9+B10+B16+B21+B30+B35+B37</f>
        <v>94719255.530000001</v>
      </c>
      <c r="C6" s="5">
        <f>C7+C9+C10+C16+C21+C30+C35+C37</f>
        <v>108622519.63000001</v>
      </c>
      <c r="D6" s="5">
        <f>D7+D9+D10+D16+D21+D30+D35+D37</f>
        <v>85303023.359999999</v>
      </c>
      <c r="E6" s="5">
        <f>E7+E9+E10+E16+E21+E30+E35+E37</f>
        <v>114838677.73</v>
      </c>
      <c r="F6" s="14">
        <f>E6/E49*100</f>
        <v>73.840098043706604</v>
      </c>
      <c r="G6" s="5">
        <f t="shared" ref="G6" si="0">G7+G9+G10+G16+G21+G30+G35+G37</f>
        <v>78687093.260000005</v>
      </c>
      <c r="H6" s="14">
        <f>D6/G6*100</f>
        <v>108.40789744023134</v>
      </c>
      <c r="I6" s="5">
        <f>E6/B6*100</f>
        <v>121.24111099419237</v>
      </c>
      <c r="J6" s="5">
        <f>E6/C6*100</f>
        <v>105.722715806238</v>
      </c>
    </row>
    <row r="7" spans="1:14" s="22" customFormat="1" x14ac:dyDescent="0.2">
      <c r="A7" s="18" t="s">
        <v>16</v>
      </c>
      <c r="B7" s="5">
        <f>B8</f>
        <v>36300000</v>
      </c>
      <c r="C7" s="5">
        <f>C8</f>
        <v>36329521.520000003</v>
      </c>
      <c r="D7" s="5">
        <f>D8</f>
        <v>30681170.780000001</v>
      </c>
      <c r="E7" s="5">
        <f>E8</f>
        <v>38803828</v>
      </c>
      <c r="F7" s="14">
        <f>E7/E49</f>
        <v>0.24950465475819505</v>
      </c>
      <c r="G7" s="5">
        <f>G8</f>
        <v>25600558</v>
      </c>
      <c r="H7" s="14">
        <f>D7/G7*100</f>
        <v>119.84571109739093</v>
      </c>
      <c r="I7" s="5">
        <f t="shared" ref="I7:I53" si="1">E7/B7*100</f>
        <v>106.89759779614324</v>
      </c>
      <c r="J7" s="5">
        <f t="shared" ref="J7:J53" si="2">E7/C7*100</f>
        <v>106.81073236441567</v>
      </c>
      <c r="K7" s="21"/>
    </row>
    <row r="8" spans="1:14" s="22" customFormat="1" ht="13.5" customHeight="1" x14ac:dyDescent="0.2">
      <c r="A8" s="74" t="s">
        <v>17</v>
      </c>
      <c r="B8" s="4">
        <v>36300000</v>
      </c>
      <c r="C8" s="4">
        <v>36329521.520000003</v>
      </c>
      <c r="D8" s="92">
        <v>30681170.780000001</v>
      </c>
      <c r="E8" s="112">
        <v>38803828</v>
      </c>
      <c r="F8" s="76">
        <f>E8/E49*100</f>
        <v>24.950465475819506</v>
      </c>
      <c r="G8" s="92">
        <v>25600558</v>
      </c>
      <c r="H8" s="77">
        <f>D8/G8*100</f>
        <v>119.84571109739093</v>
      </c>
      <c r="I8" s="78">
        <f t="shared" si="1"/>
        <v>106.89759779614324</v>
      </c>
      <c r="J8" s="78">
        <f t="shared" si="2"/>
        <v>106.81073236441567</v>
      </c>
    </row>
    <row r="9" spans="1:14" s="22" customFormat="1" x14ac:dyDescent="0.2">
      <c r="A9" s="79" t="s">
        <v>48</v>
      </c>
      <c r="B9" s="80">
        <v>2561655.5299999998</v>
      </c>
      <c r="C9" s="80">
        <v>2561655.5299999998</v>
      </c>
      <c r="D9" s="94">
        <v>1831707.43</v>
      </c>
      <c r="E9" s="96">
        <v>2561655.5299999998</v>
      </c>
      <c r="F9" s="81">
        <f>E9/E49*100</f>
        <v>1.6471183683786847</v>
      </c>
      <c r="G9" s="94">
        <v>2028162.6</v>
      </c>
      <c r="H9" s="81">
        <f t="shared" ref="H9:H13" si="3">D9/G9*100</f>
        <v>90.31363806826927</v>
      </c>
      <c r="I9" s="80">
        <f t="shared" si="1"/>
        <v>100</v>
      </c>
      <c r="J9" s="80">
        <f t="shared" si="2"/>
        <v>100</v>
      </c>
    </row>
    <row r="10" spans="1:14" s="22" customFormat="1" x14ac:dyDescent="0.2">
      <c r="A10" s="18" t="s">
        <v>2</v>
      </c>
      <c r="B10" s="5">
        <f>SUM(B11:B15)</f>
        <v>28107600</v>
      </c>
      <c r="C10" s="5">
        <f>SUM(C11:C15)</f>
        <v>33500841.5</v>
      </c>
      <c r="D10" s="5">
        <f>SUM(D11:D15)</f>
        <v>31193192.079999998</v>
      </c>
      <c r="E10" s="5">
        <f>E11+E12+E13+E14+E15</f>
        <v>40429125</v>
      </c>
      <c r="F10" s="14">
        <f>E10/E49*100</f>
        <v>25.995514863381295</v>
      </c>
      <c r="G10" s="5">
        <f>SUM(G11:G15)</f>
        <v>23186719.799999997</v>
      </c>
      <c r="H10" s="14">
        <f t="shared" si="3"/>
        <v>134.53042236703098</v>
      </c>
      <c r="I10" s="5">
        <f t="shared" si="1"/>
        <v>143.83698714938308</v>
      </c>
      <c r="J10" s="5">
        <f t="shared" si="2"/>
        <v>120.68092379112328</v>
      </c>
      <c r="L10" s="22">
        <v>37422000</v>
      </c>
    </row>
    <row r="11" spans="1:14" s="22" customFormat="1" ht="38.25" x14ac:dyDescent="0.2">
      <c r="A11" s="74" t="s">
        <v>81</v>
      </c>
      <c r="B11" s="92">
        <v>14605398</v>
      </c>
      <c r="C11" s="4">
        <v>20005398</v>
      </c>
      <c r="D11" s="4">
        <v>19413218.309999999</v>
      </c>
      <c r="E11" s="95">
        <v>25802180</v>
      </c>
      <c r="F11" s="76">
        <f>E11/E49*100</f>
        <v>16.590538471897169</v>
      </c>
      <c r="G11" s="92">
        <v>12722252.199999999</v>
      </c>
      <c r="H11" s="77">
        <f t="shared" si="3"/>
        <v>152.59262279048357</v>
      </c>
      <c r="I11" s="78">
        <f t="shared" si="1"/>
        <v>176.66194375531569</v>
      </c>
      <c r="J11" s="78">
        <f t="shared" si="2"/>
        <v>128.9760893534835</v>
      </c>
      <c r="K11" s="21">
        <f>D11+D12</f>
        <v>31170950.579999998</v>
      </c>
      <c r="L11" s="22">
        <f>D11/K11*100</f>
        <v>62.279840520667243</v>
      </c>
      <c r="N11" s="21">
        <f>L10*L11/100</f>
        <v>23306361.919644095</v>
      </c>
    </row>
    <row r="12" spans="1:14" s="22" customFormat="1" ht="51" x14ac:dyDescent="0.2">
      <c r="A12" s="74" t="s">
        <v>82</v>
      </c>
      <c r="B12" s="92">
        <v>13473202</v>
      </c>
      <c r="C12" s="4">
        <v>13473202</v>
      </c>
      <c r="D12" s="4">
        <v>11757732.27</v>
      </c>
      <c r="E12" s="95">
        <v>14604345</v>
      </c>
      <c r="F12" s="76">
        <f>E12/E49*100</f>
        <v>9.3904448220793384</v>
      </c>
      <c r="G12" s="92">
        <v>10441314.1</v>
      </c>
      <c r="H12" s="77">
        <f t="shared" si="3"/>
        <v>112.60778248209198</v>
      </c>
      <c r="I12" s="78">
        <f t="shared" si="1"/>
        <v>108.39550242028584</v>
      </c>
      <c r="J12" s="78">
        <f t="shared" si="2"/>
        <v>108.39550242028584</v>
      </c>
      <c r="K12" s="21">
        <f>E11+E12</f>
        <v>40406525</v>
      </c>
      <c r="L12" s="22">
        <f>D12/K11*100</f>
        <v>37.720159479332757</v>
      </c>
      <c r="N12" s="21">
        <f>L10*L12/100</f>
        <v>14115638.080355905</v>
      </c>
    </row>
    <row r="13" spans="1:14" s="22" customFormat="1" x14ac:dyDescent="0.2">
      <c r="A13" s="74" t="s">
        <v>83</v>
      </c>
      <c r="B13" s="4">
        <v>29000</v>
      </c>
      <c r="C13" s="4">
        <v>22241.5</v>
      </c>
      <c r="D13" s="4">
        <v>22241.5</v>
      </c>
      <c r="E13" s="98">
        <v>22600</v>
      </c>
      <c r="F13" s="83">
        <f>E13/E40*100</f>
        <v>1.9679780755692267E-2</v>
      </c>
      <c r="G13" s="4">
        <v>23153.5</v>
      </c>
      <c r="H13" s="77">
        <f t="shared" si="3"/>
        <v>96.061070680458684</v>
      </c>
      <c r="I13" s="78">
        <f t="shared" si="1"/>
        <v>77.931034482758619</v>
      </c>
      <c r="J13" s="78">
        <f t="shared" si="2"/>
        <v>101.6118517186341</v>
      </c>
    </row>
    <row r="14" spans="1:14" s="22" customFormat="1" hidden="1" x14ac:dyDescent="0.2">
      <c r="A14" s="74" t="s">
        <v>84</v>
      </c>
      <c r="B14" s="4"/>
      <c r="C14" s="4"/>
      <c r="D14" s="4"/>
      <c r="E14" s="98"/>
      <c r="F14" s="83">
        <f>E14/E49*100</f>
        <v>0</v>
      </c>
      <c r="G14" s="4"/>
      <c r="H14" s="77" t="e">
        <f t="shared" ref="H14" si="4">D14/G14*100</f>
        <v>#DIV/0!</v>
      </c>
      <c r="I14" s="78"/>
      <c r="J14" s="78"/>
    </row>
    <row r="15" spans="1:14" s="22" customFormat="1" ht="12.75" hidden="1" customHeight="1" x14ac:dyDescent="0.2">
      <c r="A15" s="74" t="s">
        <v>85</v>
      </c>
      <c r="B15" s="82"/>
      <c r="C15" s="75"/>
      <c r="D15" s="75">
        <v>0</v>
      </c>
      <c r="E15" s="75">
        <v>0</v>
      </c>
      <c r="F15" s="76">
        <f>E15/E49*100</f>
        <v>0</v>
      </c>
      <c r="G15" s="75">
        <v>0</v>
      </c>
      <c r="H15" s="77"/>
      <c r="I15" s="78"/>
      <c r="J15" s="78"/>
    </row>
    <row r="16" spans="1:14" s="22" customFormat="1" x14ac:dyDescent="0.2">
      <c r="A16" s="18" t="s">
        <v>3</v>
      </c>
      <c r="B16" s="5">
        <f>B17+B18+B20</f>
        <v>20350000</v>
      </c>
      <c r="C16" s="5">
        <f>C17+C18+C20</f>
        <v>20350000</v>
      </c>
      <c r="D16" s="5">
        <f>D17+D18+D20</f>
        <v>10781382.039999999</v>
      </c>
      <c r="E16" s="5">
        <f>SUM(E17:E20)</f>
        <v>18458403</v>
      </c>
      <c r="F16" s="14">
        <f>E16/E49*100</f>
        <v>11.868564791861855</v>
      </c>
      <c r="G16" s="5">
        <f>G17+G18+G20</f>
        <v>10506525.739999998</v>
      </c>
      <c r="H16" s="14">
        <f t="shared" ref="H16:H46" si="5">D16/G16*100</f>
        <v>102.61605317306348</v>
      </c>
      <c r="I16" s="5">
        <f t="shared" si="1"/>
        <v>90.704683046683044</v>
      </c>
      <c r="J16" s="5">
        <f t="shared" si="2"/>
        <v>90.704683046683044</v>
      </c>
    </row>
    <row r="17" spans="1:13" s="22" customFormat="1" x14ac:dyDescent="0.2">
      <c r="A17" s="1" t="s">
        <v>49</v>
      </c>
      <c r="B17" s="92">
        <v>6500000</v>
      </c>
      <c r="C17" s="92">
        <v>6500000</v>
      </c>
      <c r="D17" s="4">
        <v>3651136.94</v>
      </c>
      <c r="E17" s="95">
        <v>7164134</v>
      </c>
      <c r="F17" s="76">
        <f>E17/E49*100</f>
        <v>4.6064650639917462</v>
      </c>
      <c r="G17" s="92">
        <v>1277042.73</v>
      </c>
      <c r="H17" s="77">
        <f t="shared" si="5"/>
        <v>285.90562040159767</v>
      </c>
      <c r="I17" s="78">
        <f t="shared" si="1"/>
        <v>110.21744615384614</v>
      </c>
      <c r="J17" s="78">
        <f t="shared" si="2"/>
        <v>110.21744615384614</v>
      </c>
      <c r="L17" s="21"/>
    </row>
    <row r="18" spans="1:13" s="22" customFormat="1" ht="25.5" x14ac:dyDescent="0.2">
      <c r="A18" s="1" t="s">
        <v>50</v>
      </c>
      <c r="B18" s="4">
        <v>9600000</v>
      </c>
      <c r="C18" s="92">
        <v>9600000</v>
      </c>
      <c r="D18" s="4">
        <v>5007276.32</v>
      </c>
      <c r="E18" s="95">
        <f>7353350+590</f>
        <v>7353940</v>
      </c>
      <c r="F18" s="76">
        <f>E18/E49*100</f>
        <v>4.7285083853388929</v>
      </c>
      <c r="G18" s="92">
        <f>8469230.44+1939.53-426</f>
        <v>8470743.9699999988</v>
      </c>
      <c r="H18" s="77">
        <f t="shared" si="5"/>
        <v>59.11259197224917</v>
      </c>
      <c r="I18" s="78">
        <f t="shared" si="1"/>
        <v>76.603541666666658</v>
      </c>
      <c r="J18" s="78">
        <f t="shared" si="2"/>
        <v>76.603541666666658</v>
      </c>
      <c r="K18" s="21">
        <f>E18+E20</f>
        <v>11294367</v>
      </c>
      <c r="L18" s="22">
        <v>11500470</v>
      </c>
    </row>
    <row r="19" spans="1:13" s="22" customFormat="1" ht="24" x14ac:dyDescent="0.2">
      <c r="A19" s="102" t="s">
        <v>96</v>
      </c>
      <c r="B19" s="92"/>
      <c r="C19" s="92"/>
      <c r="D19" s="4">
        <v>-98</v>
      </c>
      <c r="E19" s="95">
        <v>-98</v>
      </c>
      <c r="F19" s="76"/>
      <c r="G19" s="92"/>
      <c r="H19" s="77"/>
      <c r="I19" s="78"/>
      <c r="J19" s="78"/>
      <c r="K19" s="21"/>
      <c r="L19" s="22">
        <f>E18/K18</f>
        <v>0.65111572875221779</v>
      </c>
      <c r="M19" s="21">
        <f>L18*L19</f>
        <v>7488136.9050430181</v>
      </c>
    </row>
    <row r="20" spans="1:13" s="22" customFormat="1" ht="25.5" x14ac:dyDescent="0.2">
      <c r="A20" s="1" t="s">
        <v>51</v>
      </c>
      <c r="B20" s="92">
        <v>4250000</v>
      </c>
      <c r="C20" s="92">
        <v>4250000</v>
      </c>
      <c r="D20" s="4">
        <v>2122968.7799999998</v>
      </c>
      <c r="E20" s="95">
        <v>3940427</v>
      </c>
      <c r="F20" s="76">
        <f>E20/E49*100</f>
        <v>2.5336543555312905</v>
      </c>
      <c r="G20" s="92">
        <v>758739.04</v>
      </c>
      <c r="H20" s="77">
        <f t="shared" si="5"/>
        <v>279.8022334530196</v>
      </c>
      <c r="I20" s="78">
        <f t="shared" si="1"/>
        <v>92.715929411764705</v>
      </c>
      <c r="J20" s="78">
        <f t="shared" si="2"/>
        <v>92.715929411764705</v>
      </c>
      <c r="L20" s="22">
        <f>E20/K18</f>
        <v>0.34888427124778221</v>
      </c>
      <c r="M20" s="21">
        <f>L18*L20</f>
        <v>4012333.0949569819</v>
      </c>
    </row>
    <row r="21" spans="1:13" s="22" customFormat="1" ht="25.5" x14ac:dyDescent="0.2">
      <c r="A21" s="18" t="s">
        <v>52</v>
      </c>
      <c r="B21" s="5">
        <f>B22+B26+B27</f>
        <v>2300000</v>
      </c>
      <c r="C21" s="5">
        <f>C22+C26+C27</f>
        <v>2750000</v>
      </c>
      <c r="D21" s="5">
        <f>D22+D26+D27</f>
        <v>3055228.0300000003</v>
      </c>
      <c r="E21" s="5">
        <f>E22+E26+E27</f>
        <v>5048000</v>
      </c>
      <c r="F21" s="14">
        <f>E21/E49*100</f>
        <v>3.2458124936008081</v>
      </c>
      <c r="G21" s="5">
        <f>G22+G26+G27</f>
        <v>2190098</v>
      </c>
      <c r="H21" s="14">
        <f t="shared" si="5"/>
        <v>139.5018866735644</v>
      </c>
      <c r="I21" s="5">
        <f t="shared" si="1"/>
        <v>219.47826086956522</v>
      </c>
      <c r="J21" s="5">
        <f t="shared" si="2"/>
        <v>183.56363636363636</v>
      </c>
    </row>
    <row r="22" spans="1:13" s="22" customFormat="1" ht="25.5" x14ac:dyDescent="0.2">
      <c r="A22" s="6" t="s">
        <v>53</v>
      </c>
      <c r="B22" s="7">
        <f>B23+B24+B25</f>
        <v>2300000</v>
      </c>
      <c r="C22" s="7">
        <f t="shared" ref="C22:E22" si="6">C23+C24+C25</f>
        <v>2750000</v>
      </c>
      <c r="D22" s="7">
        <f t="shared" si="6"/>
        <v>3055228.0300000003</v>
      </c>
      <c r="E22" s="7">
        <f t="shared" si="6"/>
        <v>5048000</v>
      </c>
      <c r="F22" s="16">
        <f>E22/E49*100</f>
        <v>3.2458124936008081</v>
      </c>
      <c r="G22" s="7">
        <f t="shared" ref="G22" si="7">G23+G24+G25</f>
        <v>2190098</v>
      </c>
      <c r="H22" s="13">
        <f t="shared" si="5"/>
        <v>139.5018866735644</v>
      </c>
      <c r="I22" s="11">
        <f t="shared" si="1"/>
        <v>219.47826086956522</v>
      </c>
      <c r="J22" s="11">
        <f t="shared" si="2"/>
        <v>183.56363636363636</v>
      </c>
      <c r="K22" s="21"/>
    </row>
    <row r="23" spans="1:13" s="22" customFormat="1" x14ac:dyDescent="0.2">
      <c r="A23" s="1" t="s">
        <v>54</v>
      </c>
      <c r="B23" s="4">
        <v>300000</v>
      </c>
      <c r="C23" s="4">
        <v>300000</v>
      </c>
      <c r="D23" s="4">
        <v>251900</v>
      </c>
      <c r="E23" s="98">
        <v>300000</v>
      </c>
      <c r="F23" s="83">
        <f>E23/E49*100</f>
        <v>0.19289693900163282</v>
      </c>
      <c r="G23" s="4">
        <v>366752.75</v>
      </c>
      <c r="H23" s="77">
        <f t="shared" si="5"/>
        <v>68.68387489937021</v>
      </c>
      <c r="I23" s="78">
        <f t="shared" si="1"/>
        <v>100</v>
      </c>
      <c r="J23" s="78">
        <f t="shared" si="2"/>
        <v>100</v>
      </c>
    </row>
    <row r="24" spans="1:13" s="22" customFormat="1" x14ac:dyDescent="0.2">
      <c r="A24" s="1" t="s">
        <v>55</v>
      </c>
      <c r="B24" s="4">
        <v>1100000</v>
      </c>
      <c r="C24" s="4">
        <v>1100000</v>
      </c>
      <c r="D24" s="4">
        <v>594633.29</v>
      </c>
      <c r="E24" s="98">
        <v>1110000</v>
      </c>
      <c r="F24" s="83">
        <f>E24/E49*100</f>
        <v>0.71371867430604141</v>
      </c>
      <c r="G24" s="4">
        <v>836433.71</v>
      </c>
      <c r="H24" s="77">
        <f t="shared" si="5"/>
        <v>71.091502278166203</v>
      </c>
      <c r="I24" s="78">
        <f t="shared" si="1"/>
        <v>100.90909090909091</v>
      </c>
      <c r="J24" s="78">
        <f t="shared" si="2"/>
        <v>100.90909090909091</v>
      </c>
    </row>
    <row r="25" spans="1:13" s="22" customFormat="1" ht="25.5" x14ac:dyDescent="0.2">
      <c r="A25" s="1" t="s">
        <v>56</v>
      </c>
      <c r="B25" s="4">
        <v>900000</v>
      </c>
      <c r="C25" s="4">
        <v>1350000</v>
      </c>
      <c r="D25" s="4">
        <v>2208694.7400000002</v>
      </c>
      <c r="E25" s="98">
        <v>3638000</v>
      </c>
      <c r="F25" s="83">
        <f>E25/E49*100</f>
        <v>2.3391968802931342</v>
      </c>
      <c r="G25" s="4">
        <v>986911.54</v>
      </c>
      <c r="H25" s="77">
        <f t="shared" si="5"/>
        <v>223.7986537273645</v>
      </c>
      <c r="I25" s="78">
        <f t="shared" si="1"/>
        <v>404.22222222222229</v>
      </c>
      <c r="J25" s="78">
        <f t="shared" si="2"/>
        <v>269.48148148148147</v>
      </c>
    </row>
    <row r="26" spans="1:13" s="22" customFormat="1" ht="12.75" hidden="1" customHeight="1" x14ac:dyDescent="0.2">
      <c r="A26" s="82" t="s">
        <v>57</v>
      </c>
      <c r="B26" s="82"/>
      <c r="C26" s="82"/>
      <c r="D26" s="82"/>
      <c r="E26" s="82"/>
      <c r="F26" s="83">
        <f>E26/E49*100</f>
        <v>0</v>
      </c>
      <c r="G26" s="82"/>
      <c r="H26" s="83"/>
      <c r="I26" s="82"/>
      <c r="J26" s="82"/>
    </row>
    <row r="27" spans="1:13" s="22" customFormat="1" ht="12.75" hidden="1" customHeight="1" x14ac:dyDescent="0.2">
      <c r="A27" s="82" t="s">
        <v>58</v>
      </c>
      <c r="B27" s="82"/>
      <c r="C27" s="82"/>
      <c r="D27" s="82"/>
      <c r="E27" s="82"/>
      <c r="F27" s="83">
        <f>E27/E49*100</f>
        <v>0</v>
      </c>
      <c r="G27" s="82"/>
      <c r="H27" s="83"/>
      <c r="I27" s="82" t="e">
        <f t="shared" si="1"/>
        <v>#DIV/0!</v>
      </c>
      <c r="J27" s="82" t="e">
        <f t="shared" si="2"/>
        <v>#DIV/0!</v>
      </c>
    </row>
    <row r="28" spans="1:13" s="22" customFormat="1" ht="12.75" hidden="1" customHeight="1" x14ac:dyDescent="0.2">
      <c r="A28" s="18" t="s">
        <v>59</v>
      </c>
      <c r="B28" s="5">
        <f>B29</f>
        <v>0</v>
      </c>
      <c r="C28" s="5">
        <f>C29</f>
        <v>0</v>
      </c>
      <c r="D28" s="5">
        <f>D29</f>
        <v>0</v>
      </c>
      <c r="E28" s="5">
        <f>E29</f>
        <v>0</v>
      </c>
      <c r="F28" s="14"/>
      <c r="G28" s="5">
        <f>G29</f>
        <v>0</v>
      </c>
      <c r="H28" s="14"/>
      <c r="I28" s="5" t="e">
        <f t="shared" si="1"/>
        <v>#DIV/0!</v>
      </c>
      <c r="J28" s="5" t="e">
        <f t="shared" si="2"/>
        <v>#DIV/0!</v>
      </c>
    </row>
    <row r="29" spans="1:13" s="22" customFormat="1" ht="25.5" hidden="1" customHeight="1" x14ac:dyDescent="0.2">
      <c r="A29" s="1" t="s">
        <v>74</v>
      </c>
      <c r="B29" s="4"/>
      <c r="C29" s="4"/>
      <c r="D29" s="4"/>
      <c r="E29" s="4"/>
      <c r="F29" s="15"/>
      <c r="G29" s="4"/>
      <c r="H29" s="13"/>
      <c r="I29" s="11" t="e">
        <f t="shared" si="1"/>
        <v>#DIV/0!</v>
      </c>
      <c r="J29" s="11" t="e">
        <f t="shared" si="2"/>
        <v>#DIV/0!</v>
      </c>
    </row>
    <row r="30" spans="1:13" s="22" customFormat="1" ht="25.5" x14ac:dyDescent="0.2">
      <c r="A30" s="18" t="s">
        <v>15</v>
      </c>
      <c r="B30" s="5">
        <f>SUM(B31:B34)</f>
        <v>5000000</v>
      </c>
      <c r="C30" s="5">
        <f>SUM(C31:C34)</f>
        <v>11601834.879999999</v>
      </c>
      <c r="D30" s="5">
        <f>SUM(D31:D34)</f>
        <v>6311676.7999999998</v>
      </c>
      <c r="E30" s="5">
        <f>SUM(E31:E34)</f>
        <v>8009000</v>
      </c>
      <c r="F30" s="14">
        <f>E30/E49*100</f>
        <v>5.1497052815469244</v>
      </c>
      <c r="G30" s="5">
        <f>SUM(G31:G34)</f>
        <v>14215727.979999999</v>
      </c>
      <c r="H30" s="14">
        <f t="shared" si="5"/>
        <v>44.399251370593547</v>
      </c>
      <c r="I30" s="5">
        <f t="shared" si="1"/>
        <v>160.17999999999998</v>
      </c>
      <c r="J30" s="5">
        <f t="shared" si="2"/>
        <v>69.032183985021518</v>
      </c>
    </row>
    <row r="31" spans="1:13" s="84" customFormat="1" ht="25.5" x14ac:dyDescent="0.2">
      <c r="A31" s="1" t="s">
        <v>60</v>
      </c>
      <c r="B31" s="92">
        <v>500000</v>
      </c>
      <c r="C31" s="92">
        <v>5000000</v>
      </c>
      <c r="D31" s="4">
        <v>609000</v>
      </c>
      <c r="E31" s="95">
        <v>609000</v>
      </c>
      <c r="F31" s="76">
        <f>E31/E49*100</f>
        <v>0.3915807861733146</v>
      </c>
      <c r="G31" s="92">
        <v>2684763.5</v>
      </c>
      <c r="H31" s="77">
        <f t="shared" si="5"/>
        <v>22.683562257904654</v>
      </c>
      <c r="I31" s="78">
        <f t="shared" si="1"/>
        <v>121.8</v>
      </c>
      <c r="J31" s="78">
        <f t="shared" si="2"/>
        <v>12.18</v>
      </c>
    </row>
    <row r="32" spans="1:13" s="84" customFormat="1" ht="25.5" x14ac:dyDescent="0.2">
      <c r="A32" s="1" t="s">
        <v>61</v>
      </c>
      <c r="B32" s="92">
        <v>1000000</v>
      </c>
      <c r="C32" s="92">
        <v>3000000</v>
      </c>
      <c r="D32" s="4">
        <v>2311269.8199999998</v>
      </c>
      <c r="E32" s="95">
        <f>3400000</f>
        <v>3400000</v>
      </c>
      <c r="F32" s="83">
        <f>E32/E49*100</f>
        <v>2.186165308685172</v>
      </c>
      <c r="G32" s="92">
        <v>9669772.5399999991</v>
      </c>
      <c r="H32" s="77">
        <f t="shared" si="5"/>
        <v>23.902008143823412</v>
      </c>
      <c r="I32" s="78">
        <f t="shared" si="1"/>
        <v>340</v>
      </c>
      <c r="J32" s="78">
        <f t="shared" si="2"/>
        <v>113.33333333333333</v>
      </c>
    </row>
    <row r="33" spans="1:10" s="84" customFormat="1" ht="25.5" x14ac:dyDescent="0.2">
      <c r="A33" s="1" t="s">
        <v>77</v>
      </c>
      <c r="B33" s="92">
        <v>500000</v>
      </c>
      <c r="C33" s="92">
        <v>500000</v>
      </c>
      <c r="D33" s="4">
        <v>219406.98</v>
      </c>
      <c r="E33" s="95">
        <v>500000</v>
      </c>
      <c r="F33" s="76">
        <f>E33/E49*100</f>
        <v>0.32149489833605471</v>
      </c>
      <c r="G33" s="92">
        <v>317191.94</v>
      </c>
      <c r="H33" s="77">
        <f t="shared" si="5"/>
        <v>69.171675673726142</v>
      </c>
      <c r="I33" s="78">
        <f t="shared" si="1"/>
        <v>100</v>
      </c>
      <c r="J33" s="78">
        <f t="shared" si="2"/>
        <v>100</v>
      </c>
    </row>
    <row r="34" spans="1:10" s="84" customFormat="1" ht="25.5" x14ac:dyDescent="0.2">
      <c r="A34" s="1" t="s">
        <v>62</v>
      </c>
      <c r="B34" s="92">
        <v>3000000</v>
      </c>
      <c r="C34" s="92">
        <v>3101834.88</v>
      </c>
      <c r="D34" s="4">
        <v>3172000</v>
      </c>
      <c r="E34" s="95">
        <v>3500000</v>
      </c>
      <c r="F34" s="76">
        <f>E34/E49*100</f>
        <v>2.2504642883523829</v>
      </c>
      <c r="G34" s="92">
        <v>1544000</v>
      </c>
      <c r="H34" s="77">
        <f t="shared" si="5"/>
        <v>205.44041450777203</v>
      </c>
      <c r="I34" s="78">
        <f t="shared" si="1"/>
        <v>116.66666666666667</v>
      </c>
      <c r="J34" s="78">
        <f t="shared" si="2"/>
        <v>112.83643828262065</v>
      </c>
    </row>
    <row r="35" spans="1:10" s="22" customFormat="1" ht="25.5" x14ac:dyDescent="0.2">
      <c r="A35" s="18" t="s">
        <v>4</v>
      </c>
      <c r="B35" s="5">
        <f>B36</f>
        <v>100000</v>
      </c>
      <c r="C35" s="5">
        <f>C36</f>
        <v>165869</v>
      </c>
      <c r="D35" s="5">
        <f>D36</f>
        <v>85869</v>
      </c>
      <c r="E35" s="5">
        <f>E36</f>
        <v>165869</v>
      </c>
      <c r="F35" s="14">
        <f>E35/E49*100</f>
        <v>0.10665207458420611</v>
      </c>
      <c r="G35" s="5">
        <f>G36</f>
        <v>0</v>
      </c>
      <c r="H35" s="14" t="e">
        <f t="shared" si="5"/>
        <v>#DIV/0!</v>
      </c>
      <c r="I35" s="5">
        <f t="shared" si="1"/>
        <v>165.869</v>
      </c>
      <c r="J35" s="5">
        <f t="shared" si="2"/>
        <v>100</v>
      </c>
    </row>
    <row r="36" spans="1:10" s="84" customFormat="1" ht="25.5" x14ac:dyDescent="0.2">
      <c r="A36" s="1" t="s">
        <v>63</v>
      </c>
      <c r="B36" s="4">
        <v>100000</v>
      </c>
      <c r="C36" s="103">
        <v>165869</v>
      </c>
      <c r="D36" s="104">
        <v>85869</v>
      </c>
      <c r="E36" s="98">
        <v>165869</v>
      </c>
      <c r="F36" s="83">
        <f>E36/E49*100</f>
        <v>0.10665207458420611</v>
      </c>
      <c r="G36" s="82">
        <v>0</v>
      </c>
      <c r="H36" s="77" t="e">
        <f t="shared" si="5"/>
        <v>#DIV/0!</v>
      </c>
      <c r="I36" s="78">
        <f t="shared" si="1"/>
        <v>165.869</v>
      </c>
      <c r="J36" s="78">
        <f t="shared" si="2"/>
        <v>100</v>
      </c>
    </row>
    <row r="37" spans="1:10" s="22" customFormat="1" x14ac:dyDescent="0.2">
      <c r="A37" s="18" t="s">
        <v>5</v>
      </c>
      <c r="B37" s="5">
        <f>B38+B39</f>
        <v>0</v>
      </c>
      <c r="C37" s="5">
        <f t="shared" ref="C37:E37" si="8">C38+C39</f>
        <v>1362797.2</v>
      </c>
      <c r="D37" s="5">
        <f t="shared" si="8"/>
        <v>1362797.2</v>
      </c>
      <c r="E37" s="5">
        <f t="shared" si="8"/>
        <v>1362797.2</v>
      </c>
      <c r="F37" s="14">
        <f>E37/E49*100</f>
        <v>0.8762646945333199</v>
      </c>
      <c r="G37" s="5">
        <f t="shared" ref="G37" si="9">G38+G39</f>
        <v>959301.14</v>
      </c>
      <c r="H37" s="14"/>
      <c r="I37" s="5"/>
      <c r="J37" s="5">
        <f t="shared" si="2"/>
        <v>100</v>
      </c>
    </row>
    <row r="38" spans="1:10" s="84" customFormat="1" x14ac:dyDescent="0.2">
      <c r="A38" s="105" t="s">
        <v>80</v>
      </c>
      <c r="B38" s="93"/>
      <c r="C38" s="93">
        <v>1362797.2</v>
      </c>
      <c r="D38" s="93">
        <f>201850+503700+657247.2</f>
        <v>1362797.2</v>
      </c>
      <c r="E38" s="93">
        <f>201850+503700+657247.2</f>
        <v>1362797.2</v>
      </c>
      <c r="F38" s="83">
        <f>E38/E49*100</f>
        <v>0.8762646945333199</v>
      </c>
      <c r="G38" s="4">
        <f>209301.14+750000</f>
        <v>959301.14</v>
      </c>
      <c r="H38" s="77">
        <f t="shared" ref="H38" si="10">D38/G38*100</f>
        <v>142.06145944953218</v>
      </c>
      <c r="I38" s="78"/>
      <c r="J38" s="78">
        <f t="shared" ref="J38" si="11">E38/C38*100</f>
        <v>100</v>
      </c>
    </row>
    <row r="39" spans="1:10" s="84" customFormat="1" ht="12.75" hidden="1" customHeight="1" x14ac:dyDescent="0.2">
      <c r="A39" s="74" t="s">
        <v>6</v>
      </c>
      <c r="B39" s="82"/>
      <c r="C39" s="82"/>
      <c r="D39" s="82"/>
      <c r="E39" s="82"/>
      <c r="F39" s="83"/>
      <c r="G39" s="82"/>
      <c r="H39" s="77"/>
      <c r="I39" s="78"/>
      <c r="J39" s="78"/>
    </row>
    <row r="40" spans="1:10" s="22" customFormat="1" ht="25.5" x14ac:dyDescent="0.2">
      <c r="A40" s="23" t="s">
        <v>64</v>
      </c>
      <c r="B40" s="19">
        <f t="shared" ref="B40:C40" si="12">B6</f>
        <v>94719255.530000001</v>
      </c>
      <c r="C40" s="19">
        <f t="shared" si="12"/>
        <v>108622519.63000001</v>
      </c>
      <c r="D40" s="19">
        <f>D6</f>
        <v>85303023.359999999</v>
      </c>
      <c r="E40" s="19">
        <f>E6</f>
        <v>114838677.73</v>
      </c>
      <c r="F40" s="20">
        <f>E40/E49*100</f>
        <v>73.840098043706604</v>
      </c>
      <c r="G40" s="19">
        <f>G6</f>
        <v>78687093.260000005</v>
      </c>
      <c r="H40" s="20">
        <f t="shared" si="5"/>
        <v>108.40789744023134</v>
      </c>
      <c r="I40" s="19">
        <f t="shared" si="1"/>
        <v>121.24111099419237</v>
      </c>
      <c r="J40" s="19">
        <f t="shared" si="2"/>
        <v>105.722715806238</v>
      </c>
    </row>
    <row r="41" spans="1:10" s="22" customFormat="1" x14ac:dyDescent="0.2">
      <c r="A41" s="18" t="s">
        <v>7</v>
      </c>
      <c r="B41" s="5">
        <f>B42+B48+B46+B47</f>
        <v>16926103.600000001</v>
      </c>
      <c r="C41" s="5">
        <f t="shared" ref="C41:E41" si="13">C42+C48+C46+C47</f>
        <v>40684785.5</v>
      </c>
      <c r="D41" s="5">
        <f t="shared" si="13"/>
        <v>14879251.4</v>
      </c>
      <c r="E41" s="5">
        <f t="shared" si="13"/>
        <v>40684785.5</v>
      </c>
      <c r="F41" s="14">
        <f>E41/E49*100</f>
        <v>26.159901956293385</v>
      </c>
      <c r="G41" s="5">
        <f t="shared" ref="G41" si="14">G42+G48+G46+G47</f>
        <v>185354681.77000001</v>
      </c>
      <c r="H41" s="14">
        <f t="shared" si="5"/>
        <v>8.0274483805394947</v>
      </c>
      <c r="I41" s="5">
        <f t="shared" si="1"/>
        <v>240.36710669784625</v>
      </c>
      <c r="J41" s="5">
        <f t="shared" si="2"/>
        <v>100</v>
      </c>
    </row>
    <row r="42" spans="1:10" s="24" customFormat="1" ht="24" x14ac:dyDescent="0.2">
      <c r="A42" s="8" t="s">
        <v>8</v>
      </c>
      <c r="B42" s="4">
        <f>B43+B44+B45</f>
        <v>16926103.600000001</v>
      </c>
      <c r="C42" s="4">
        <f t="shared" ref="C42:E42" si="15">C43+C44+C45</f>
        <v>42251911.100000001</v>
      </c>
      <c r="D42" s="4">
        <f t="shared" si="15"/>
        <v>16446377</v>
      </c>
      <c r="E42" s="4">
        <f t="shared" si="15"/>
        <v>42251911.100000001</v>
      </c>
      <c r="F42" s="15">
        <f>E42/E49*100</f>
        <v>27.167547727197043</v>
      </c>
      <c r="G42" s="4">
        <f t="shared" ref="G42" si="16">G43+G44+G45</f>
        <v>185354681.77000001</v>
      </c>
      <c r="H42" s="13">
        <f t="shared" si="5"/>
        <v>8.8729223578003396</v>
      </c>
      <c r="I42" s="11">
        <f t="shared" si="1"/>
        <v>249.62573843634041</v>
      </c>
      <c r="J42" s="11">
        <f t="shared" si="2"/>
        <v>100</v>
      </c>
    </row>
    <row r="43" spans="1:10" s="84" customFormat="1" x14ac:dyDescent="0.2">
      <c r="A43" s="1" t="s">
        <v>65</v>
      </c>
      <c r="B43" s="4">
        <v>12624383</v>
      </c>
      <c r="C43" s="104">
        <v>13139975</v>
      </c>
      <c r="D43" s="104">
        <v>10220977</v>
      </c>
      <c r="E43" s="98">
        <v>13139975</v>
      </c>
      <c r="F43" s="83">
        <f>E43/E49*100</f>
        <v>8.4488698535266007</v>
      </c>
      <c r="G43" s="4">
        <f>8537965+343727.96</f>
        <v>8881692.9600000009</v>
      </c>
      <c r="H43" s="77">
        <f t="shared" si="5"/>
        <v>115.07915265740056</v>
      </c>
      <c r="I43" s="78">
        <f t="shared" si="1"/>
        <v>104.08409662476178</v>
      </c>
      <c r="J43" s="78">
        <f t="shared" si="2"/>
        <v>100</v>
      </c>
    </row>
    <row r="44" spans="1:10" s="84" customFormat="1" x14ac:dyDescent="0.2">
      <c r="A44" s="1" t="s">
        <v>66</v>
      </c>
      <c r="B44" s="4">
        <v>4301720.5999999996</v>
      </c>
      <c r="C44" s="104">
        <v>5601720.5999999996</v>
      </c>
      <c r="D44" s="104"/>
      <c r="E44" s="98">
        <v>5601720.5999999996</v>
      </c>
      <c r="F44" s="83">
        <f>E44/E49*100</f>
        <v>3.6018491896079667</v>
      </c>
      <c r="G44" s="4">
        <f>66604432.82+310320+2654877.71+20590758.28</f>
        <v>90160388.810000002</v>
      </c>
      <c r="H44" s="77">
        <f t="shared" si="5"/>
        <v>0</v>
      </c>
      <c r="I44" s="78">
        <f t="shared" si="1"/>
        <v>130.22046573643112</v>
      </c>
      <c r="J44" s="78">
        <f t="shared" si="2"/>
        <v>100</v>
      </c>
    </row>
    <row r="45" spans="1:10" s="84" customFormat="1" x14ac:dyDescent="0.2">
      <c r="A45" s="1" t="s">
        <v>67</v>
      </c>
      <c r="B45" s="4"/>
      <c r="C45" s="104">
        <v>23510215.5</v>
      </c>
      <c r="D45" s="104">
        <v>6225400</v>
      </c>
      <c r="E45" s="98">
        <v>23510215.5</v>
      </c>
      <c r="F45" s="83">
        <f>E45/E49*100</f>
        <v>15.116828684062474</v>
      </c>
      <c r="G45" s="4">
        <f>80800000+750000+732600+1750000+1500000+500000+280000</f>
        <v>86312600</v>
      </c>
      <c r="H45" s="77">
        <f t="shared" si="5"/>
        <v>7.2126201736478794</v>
      </c>
      <c r="I45" s="78"/>
      <c r="J45" s="78">
        <f t="shared" si="2"/>
        <v>100</v>
      </c>
    </row>
    <row r="46" spans="1:10" s="84" customFormat="1" x14ac:dyDescent="0.2">
      <c r="A46" s="1" t="s">
        <v>68</v>
      </c>
      <c r="B46" s="4"/>
      <c r="C46" s="106">
        <f>1114904+192500</f>
        <v>1307404</v>
      </c>
      <c r="D46" s="104">
        <f>1114904+192500</f>
        <v>1307404</v>
      </c>
      <c r="E46" s="99">
        <v>1307404</v>
      </c>
      <c r="F46" s="87">
        <f>E46/E49*100</f>
        <v>0.84064743212830251</v>
      </c>
      <c r="G46" s="86"/>
      <c r="H46" s="77" t="e">
        <f t="shared" si="5"/>
        <v>#DIV/0!</v>
      </c>
      <c r="I46" s="78"/>
      <c r="J46" s="78"/>
    </row>
    <row r="47" spans="1:10" s="84" customFormat="1" x14ac:dyDescent="0.2">
      <c r="A47" s="1" t="s">
        <v>97</v>
      </c>
      <c r="B47" s="93"/>
      <c r="C47" s="103">
        <v>-2874529.6</v>
      </c>
      <c r="D47" s="104">
        <f>-910637.81-1963891.79</f>
        <v>-2874529.6</v>
      </c>
      <c r="E47" s="100">
        <v>-2874529.6</v>
      </c>
      <c r="F47" s="83">
        <f>E47/E49*100</f>
        <v>-1.8482932030319601</v>
      </c>
      <c r="G47" s="88"/>
      <c r="H47" s="77"/>
      <c r="I47" s="78"/>
      <c r="J47" s="78">
        <f t="shared" si="2"/>
        <v>100</v>
      </c>
    </row>
    <row r="48" spans="1:10" s="84" customFormat="1" x14ac:dyDescent="0.2">
      <c r="A48" s="74" t="s">
        <v>9</v>
      </c>
      <c r="B48" s="82"/>
      <c r="C48" s="85"/>
      <c r="D48" s="85"/>
      <c r="E48" s="101"/>
      <c r="F48" s="83">
        <f>E48/E49*100</f>
        <v>0</v>
      </c>
      <c r="G48" s="85"/>
      <c r="H48" s="77"/>
      <c r="I48" s="78"/>
      <c r="J48" s="78" t="e">
        <f t="shared" si="2"/>
        <v>#DIV/0!</v>
      </c>
    </row>
    <row r="49" spans="1:10" s="22" customFormat="1" x14ac:dyDescent="0.2">
      <c r="A49" s="108" t="s">
        <v>69</v>
      </c>
      <c r="B49" s="109">
        <f>B40+B41</f>
        <v>111645359.13</v>
      </c>
      <c r="C49" s="109">
        <f t="shared" ref="C49" si="17">C40+C41</f>
        <v>149307305.13</v>
      </c>
      <c r="D49" s="109">
        <f t="shared" ref="D49:F49" si="18">D40+D41</f>
        <v>100182274.76000001</v>
      </c>
      <c r="E49" s="109">
        <f t="shared" si="18"/>
        <v>155523463.23000002</v>
      </c>
      <c r="F49" s="109">
        <f t="shared" si="18"/>
        <v>99.999999999999986</v>
      </c>
      <c r="G49" s="109">
        <f t="shared" ref="G49" si="19">G40+G41</f>
        <v>264041775.03000003</v>
      </c>
      <c r="H49" s="109">
        <f>D49/G49*100</f>
        <v>37.941827481131519</v>
      </c>
      <c r="I49" s="109">
        <f t="shared" si="1"/>
        <v>139.3013238005785</v>
      </c>
      <c r="J49" s="109">
        <f t="shared" si="2"/>
        <v>104.16333152258537</v>
      </c>
    </row>
    <row r="50" spans="1:10" s="33" customFormat="1" x14ac:dyDescent="0.2">
      <c r="A50" s="107" t="s">
        <v>10</v>
      </c>
      <c r="B50" s="107">
        <v>121117284.68000001</v>
      </c>
      <c r="C50" s="107">
        <v>181028916.27000001</v>
      </c>
      <c r="D50" s="110">
        <v>91537962.930000007</v>
      </c>
      <c r="E50" s="110">
        <f>Расходы!D38</f>
        <v>167007330.23000002</v>
      </c>
      <c r="F50" s="107"/>
      <c r="G50" s="107">
        <v>234858267.97</v>
      </c>
      <c r="H50" s="107">
        <f>D50/G50*100</f>
        <v>38.975831560544741</v>
      </c>
      <c r="I50" s="107">
        <f t="shared" si="1"/>
        <v>137.88893193175903</v>
      </c>
      <c r="J50" s="107">
        <f t="shared" si="2"/>
        <v>92.254504789120446</v>
      </c>
    </row>
    <row r="51" spans="1:10" s="33" customFormat="1" ht="25.5" x14ac:dyDescent="0.2">
      <c r="A51" s="23" t="s">
        <v>11</v>
      </c>
      <c r="B51" s="32">
        <f>B49-B50</f>
        <v>-9471925.5500000119</v>
      </c>
      <c r="C51" s="32">
        <f>C49-C50</f>
        <v>-31721611.140000015</v>
      </c>
      <c r="D51" s="32">
        <f t="shared" ref="D51:E51" si="20">D49-D50</f>
        <v>8644311.8299999982</v>
      </c>
      <c r="E51" s="32">
        <f t="shared" si="20"/>
        <v>-11483867</v>
      </c>
      <c r="F51" s="32"/>
      <c r="G51" s="32">
        <f t="shared" ref="G51" si="21">G49-G50</f>
        <v>29183507.060000032</v>
      </c>
      <c r="H51" s="34">
        <f t="shared" ref="H51:H53" si="22">D51/G51*100</f>
        <v>29.620538108143297</v>
      </c>
      <c r="I51" s="35">
        <f t="shared" si="1"/>
        <v>121.24110287163295</v>
      </c>
      <c r="J51" s="35">
        <f t="shared" si="2"/>
        <v>36.202029428193768</v>
      </c>
    </row>
    <row r="52" spans="1:10" s="22" customFormat="1" x14ac:dyDescent="0.2">
      <c r="A52" s="1" t="s">
        <v>12</v>
      </c>
      <c r="B52" s="30">
        <f>B7+B9+B10+B16</f>
        <v>87319255.530000001</v>
      </c>
      <c r="C52" s="30">
        <f>C7+C9+C10+C16</f>
        <v>92742018.550000012</v>
      </c>
      <c r="D52" s="30">
        <f>D7+D9+D10+D16</f>
        <v>74487452.329999998</v>
      </c>
      <c r="E52" s="30">
        <f>E7+E9+E10+E16</f>
        <v>100253011.53</v>
      </c>
      <c r="F52" s="31"/>
      <c r="G52" s="30">
        <f>G7+G9+G10+G16</f>
        <v>61321966.140000001</v>
      </c>
      <c r="H52" s="13">
        <f t="shared" si="22"/>
        <v>121.46944564683848</v>
      </c>
      <c r="I52" s="11">
        <f t="shared" si="1"/>
        <v>114.81203191838527</v>
      </c>
      <c r="J52" s="11">
        <f t="shared" si="2"/>
        <v>108.09880256806206</v>
      </c>
    </row>
    <row r="53" spans="1:10" s="22" customFormat="1" x14ac:dyDescent="0.2">
      <c r="A53" s="1" t="s">
        <v>13</v>
      </c>
      <c r="B53" s="30">
        <f>B21+B30+B35+B37</f>
        <v>7400000</v>
      </c>
      <c r="C53" s="30">
        <f>C21+C28+C30+C35+C37</f>
        <v>15880501.079999998</v>
      </c>
      <c r="D53" s="30">
        <f>D21+D30+D35+D37</f>
        <v>10815571.029999999</v>
      </c>
      <c r="E53" s="30">
        <f>E21+E30+E35+E37</f>
        <v>14585666.199999999</v>
      </c>
      <c r="F53" s="31"/>
      <c r="G53" s="30">
        <f>G21+G30+G35+G37</f>
        <v>17365127.119999997</v>
      </c>
      <c r="H53" s="13">
        <f t="shared" si="22"/>
        <v>62.283281632550469</v>
      </c>
      <c r="I53" s="11">
        <f t="shared" si="1"/>
        <v>197.10359729729728</v>
      </c>
      <c r="J53" s="11">
        <f t="shared" si="2"/>
        <v>91.846385240131241</v>
      </c>
    </row>
    <row r="54" spans="1:10" x14ac:dyDescent="0.2">
      <c r="B54" s="3"/>
    </row>
    <row r="55" spans="1:10" x14ac:dyDescent="0.2">
      <c r="B55" s="3"/>
    </row>
    <row r="56" spans="1:10" x14ac:dyDescent="0.2">
      <c r="B56" s="3"/>
      <c r="C56" s="3"/>
      <c r="D56" s="3"/>
      <c r="E56" s="3"/>
      <c r="F56" s="28"/>
      <c r="G56" s="29"/>
    </row>
    <row r="57" spans="1:10" x14ac:dyDescent="0.2">
      <c r="B57" s="3"/>
      <c r="C57" s="3"/>
      <c r="D57" s="3"/>
      <c r="E57" s="3"/>
      <c r="F57" s="28"/>
      <c r="G57" s="29"/>
    </row>
  </sheetData>
  <mergeCells count="10">
    <mergeCell ref="A1:J2"/>
    <mergeCell ref="A4:A5"/>
    <mergeCell ref="B4:C4"/>
    <mergeCell ref="D4:D5"/>
    <mergeCell ref="G4:G5"/>
    <mergeCell ref="H4:H5"/>
    <mergeCell ref="I3:J3"/>
    <mergeCell ref="I4:J4"/>
    <mergeCell ref="E4:E5"/>
    <mergeCell ref="F4:F5"/>
  </mergeCells>
  <pageMargins left="0.25" right="0.25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opLeftCell="A10" workbookViewId="0">
      <selection activeCell="D22" sqref="D22"/>
    </sheetView>
  </sheetViews>
  <sheetFormatPr defaultRowHeight="12.75" x14ac:dyDescent="0.2"/>
  <cols>
    <col min="1" max="1" width="24.42578125" style="33" customWidth="1"/>
    <col min="2" max="2" width="13.42578125" style="33" bestFit="1" customWidth="1"/>
    <col min="3" max="3" width="13.28515625" style="33" customWidth="1"/>
    <col min="4" max="4" width="13.7109375" style="33" customWidth="1"/>
    <col min="5" max="7" width="9.140625" style="33"/>
    <col min="8" max="8" width="15.85546875" style="33" hidden="1" customWidth="1"/>
    <col min="9" max="253" width="9.140625" style="33"/>
    <col min="254" max="254" width="42" style="33" customWidth="1"/>
    <col min="255" max="255" width="13.28515625" style="33" customWidth="1"/>
    <col min="256" max="256" width="11.85546875" style="33" bestFit="1" customWidth="1"/>
    <col min="257" max="257" width="13.28515625" style="33" customWidth="1"/>
    <col min="258" max="258" width="9.28515625" style="33" bestFit="1" customWidth="1"/>
    <col min="259" max="259" width="10.42578125" style="33" customWidth="1"/>
    <col min="260" max="260" width="9.28515625" style="33" bestFit="1" customWidth="1"/>
    <col min="261" max="263" width="9.140625" style="33"/>
    <col min="264" max="264" width="0" style="33" hidden="1" customWidth="1"/>
    <col min="265" max="509" width="9.140625" style="33"/>
    <col min="510" max="510" width="42" style="33" customWidth="1"/>
    <col min="511" max="511" width="13.28515625" style="33" customWidth="1"/>
    <col min="512" max="512" width="11.85546875" style="33" bestFit="1" customWidth="1"/>
    <col min="513" max="513" width="13.28515625" style="33" customWidth="1"/>
    <col min="514" max="514" width="9.28515625" style="33" bestFit="1" customWidth="1"/>
    <col min="515" max="515" width="10.42578125" style="33" customWidth="1"/>
    <col min="516" max="516" width="9.28515625" style="33" bestFit="1" customWidth="1"/>
    <col min="517" max="519" width="9.140625" style="33"/>
    <col min="520" max="520" width="0" style="33" hidden="1" customWidth="1"/>
    <col min="521" max="765" width="9.140625" style="33"/>
    <col min="766" max="766" width="42" style="33" customWidth="1"/>
    <col min="767" max="767" width="13.28515625" style="33" customWidth="1"/>
    <col min="768" max="768" width="11.85546875" style="33" bestFit="1" customWidth="1"/>
    <col min="769" max="769" width="13.28515625" style="33" customWidth="1"/>
    <col min="770" max="770" width="9.28515625" style="33" bestFit="1" customWidth="1"/>
    <col min="771" max="771" width="10.42578125" style="33" customWidth="1"/>
    <col min="772" max="772" width="9.28515625" style="33" bestFit="1" customWidth="1"/>
    <col min="773" max="775" width="9.140625" style="33"/>
    <col min="776" max="776" width="0" style="33" hidden="1" customWidth="1"/>
    <col min="777" max="1021" width="9.140625" style="33"/>
    <col min="1022" max="1022" width="42" style="33" customWidth="1"/>
    <col min="1023" max="1023" width="13.28515625" style="33" customWidth="1"/>
    <col min="1024" max="1024" width="11.85546875" style="33" bestFit="1" customWidth="1"/>
    <col min="1025" max="1025" width="13.28515625" style="33" customWidth="1"/>
    <col min="1026" max="1026" width="9.28515625" style="33" bestFit="1" customWidth="1"/>
    <col min="1027" max="1027" width="10.42578125" style="33" customWidth="1"/>
    <col min="1028" max="1028" width="9.28515625" style="33" bestFit="1" customWidth="1"/>
    <col min="1029" max="1031" width="9.140625" style="33"/>
    <col min="1032" max="1032" width="0" style="33" hidden="1" customWidth="1"/>
    <col min="1033" max="1277" width="9.140625" style="33"/>
    <col min="1278" max="1278" width="42" style="33" customWidth="1"/>
    <col min="1279" max="1279" width="13.28515625" style="33" customWidth="1"/>
    <col min="1280" max="1280" width="11.85546875" style="33" bestFit="1" customWidth="1"/>
    <col min="1281" max="1281" width="13.28515625" style="33" customWidth="1"/>
    <col min="1282" max="1282" width="9.28515625" style="33" bestFit="1" customWidth="1"/>
    <col min="1283" max="1283" width="10.42578125" style="33" customWidth="1"/>
    <col min="1284" max="1284" width="9.28515625" style="33" bestFit="1" customWidth="1"/>
    <col min="1285" max="1287" width="9.140625" style="33"/>
    <col min="1288" max="1288" width="0" style="33" hidden="1" customWidth="1"/>
    <col min="1289" max="1533" width="9.140625" style="33"/>
    <col min="1534" max="1534" width="42" style="33" customWidth="1"/>
    <col min="1535" max="1535" width="13.28515625" style="33" customWidth="1"/>
    <col min="1536" max="1536" width="11.85546875" style="33" bestFit="1" customWidth="1"/>
    <col min="1537" max="1537" width="13.28515625" style="33" customWidth="1"/>
    <col min="1538" max="1538" width="9.28515625" style="33" bestFit="1" customWidth="1"/>
    <col min="1539" max="1539" width="10.42578125" style="33" customWidth="1"/>
    <col min="1540" max="1540" width="9.28515625" style="33" bestFit="1" customWidth="1"/>
    <col min="1541" max="1543" width="9.140625" style="33"/>
    <col min="1544" max="1544" width="0" style="33" hidden="1" customWidth="1"/>
    <col min="1545" max="1789" width="9.140625" style="33"/>
    <col min="1790" max="1790" width="42" style="33" customWidth="1"/>
    <col min="1791" max="1791" width="13.28515625" style="33" customWidth="1"/>
    <col min="1792" max="1792" width="11.85546875" style="33" bestFit="1" customWidth="1"/>
    <col min="1793" max="1793" width="13.28515625" style="33" customWidth="1"/>
    <col min="1794" max="1794" width="9.28515625" style="33" bestFit="1" customWidth="1"/>
    <col min="1795" max="1795" width="10.42578125" style="33" customWidth="1"/>
    <col min="1796" max="1796" width="9.28515625" style="33" bestFit="1" customWidth="1"/>
    <col min="1797" max="1799" width="9.140625" style="33"/>
    <col min="1800" max="1800" width="0" style="33" hidden="1" customWidth="1"/>
    <col min="1801" max="2045" width="9.140625" style="33"/>
    <col min="2046" max="2046" width="42" style="33" customWidth="1"/>
    <col min="2047" max="2047" width="13.28515625" style="33" customWidth="1"/>
    <col min="2048" max="2048" width="11.85546875" style="33" bestFit="1" customWidth="1"/>
    <col min="2049" max="2049" width="13.28515625" style="33" customWidth="1"/>
    <col min="2050" max="2050" width="9.28515625" style="33" bestFit="1" customWidth="1"/>
    <col min="2051" max="2051" width="10.42578125" style="33" customWidth="1"/>
    <col min="2052" max="2052" width="9.28515625" style="33" bestFit="1" customWidth="1"/>
    <col min="2053" max="2055" width="9.140625" style="33"/>
    <col min="2056" max="2056" width="0" style="33" hidden="1" customWidth="1"/>
    <col min="2057" max="2301" width="9.140625" style="33"/>
    <col min="2302" max="2302" width="42" style="33" customWidth="1"/>
    <col min="2303" max="2303" width="13.28515625" style="33" customWidth="1"/>
    <col min="2304" max="2304" width="11.85546875" style="33" bestFit="1" customWidth="1"/>
    <col min="2305" max="2305" width="13.28515625" style="33" customWidth="1"/>
    <col min="2306" max="2306" width="9.28515625" style="33" bestFit="1" customWidth="1"/>
    <col min="2307" max="2307" width="10.42578125" style="33" customWidth="1"/>
    <col min="2308" max="2308" width="9.28515625" style="33" bestFit="1" customWidth="1"/>
    <col min="2309" max="2311" width="9.140625" style="33"/>
    <col min="2312" max="2312" width="0" style="33" hidden="1" customWidth="1"/>
    <col min="2313" max="2557" width="9.140625" style="33"/>
    <col min="2558" max="2558" width="42" style="33" customWidth="1"/>
    <col min="2559" max="2559" width="13.28515625" style="33" customWidth="1"/>
    <col min="2560" max="2560" width="11.85546875" style="33" bestFit="1" customWidth="1"/>
    <col min="2561" max="2561" width="13.28515625" style="33" customWidth="1"/>
    <col min="2562" max="2562" width="9.28515625" style="33" bestFit="1" customWidth="1"/>
    <col min="2563" max="2563" width="10.42578125" style="33" customWidth="1"/>
    <col min="2564" max="2564" width="9.28515625" style="33" bestFit="1" customWidth="1"/>
    <col min="2565" max="2567" width="9.140625" style="33"/>
    <col min="2568" max="2568" width="0" style="33" hidden="1" customWidth="1"/>
    <col min="2569" max="2813" width="9.140625" style="33"/>
    <col min="2814" max="2814" width="42" style="33" customWidth="1"/>
    <col min="2815" max="2815" width="13.28515625" style="33" customWidth="1"/>
    <col min="2816" max="2816" width="11.85546875" style="33" bestFit="1" customWidth="1"/>
    <col min="2817" max="2817" width="13.28515625" style="33" customWidth="1"/>
    <col min="2818" max="2818" width="9.28515625" style="33" bestFit="1" customWidth="1"/>
    <col min="2819" max="2819" width="10.42578125" style="33" customWidth="1"/>
    <col min="2820" max="2820" width="9.28515625" style="33" bestFit="1" customWidth="1"/>
    <col min="2821" max="2823" width="9.140625" style="33"/>
    <col min="2824" max="2824" width="0" style="33" hidden="1" customWidth="1"/>
    <col min="2825" max="3069" width="9.140625" style="33"/>
    <col min="3070" max="3070" width="42" style="33" customWidth="1"/>
    <col min="3071" max="3071" width="13.28515625" style="33" customWidth="1"/>
    <col min="3072" max="3072" width="11.85546875" style="33" bestFit="1" customWidth="1"/>
    <col min="3073" max="3073" width="13.28515625" style="33" customWidth="1"/>
    <col min="3074" max="3074" width="9.28515625" style="33" bestFit="1" customWidth="1"/>
    <col min="3075" max="3075" width="10.42578125" style="33" customWidth="1"/>
    <col min="3076" max="3076" width="9.28515625" style="33" bestFit="1" customWidth="1"/>
    <col min="3077" max="3079" width="9.140625" style="33"/>
    <col min="3080" max="3080" width="0" style="33" hidden="1" customWidth="1"/>
    <col min="3081" max="3325" width="9.140625" style="33"/>
    <col min="3326" max="3326" width="42" style="33" customWidth="1"/>
    <col min="3327" max="3327" width="13.28515625" style="33" customWidth="1"/>
    <col min="3328" max="3328" width="11.85546875" style="33" bestFit="1" customWidth="1"/>
    <col min="3329" max="3329" width="13.28515625" style="33" customWidth="1"/>
    <col min="3330" max="3330" width="9.28515625" style="33" bestFit="1" customWidth="1"/>
    <col min="3331" max="3331" width="10.42578125" style="33" customWidth="1"/>
    <col min="3332" max="3332" width="9.28515625" style="33" bestFit="1" customWidth="1"/>
    <col min="3333" max="3335" width="9.140625" style="33"/>
    <col min="3336" max="3336" width="0" style="33" hidden="1" customWidth="1"/>
    <col min="3337" max="3581" width="9.140625" style="33"/>
    <col min="3582" max="3582" width="42" style="33" customWidth="1"/>
    <col min="3583" max="3583" width="13.28515625" style="33" customWidth="1"/>
    <col min="3584" max="3584" width="11.85546875" style="33" bestFit="1" customWidth="1"/>
    <col min="3585" max="3585" width="13.28515625" style="33" customWidth="1"/>
    <col min="3586" max="3586" width="9.28515625" style="33" bestFit="1" customWidth="1"/>
    <col min="3587" max="3587" width="10.42578125" style="33" customWidth="1"/>
    <col min="3588" max="3588" width="9.28515625" style="33" bestFit="1" customWidth="1"/>
    <col min="3589" max="3591" width="9.140625" style="33"/>
    <col min="3592" max="3592" width="0" style="33" hidden="1" customWidth="1"/>
    <col min="3593" max="3837" width="9.140625" style="33"/>
    <col min="3838" max="3838" width="42" style="33" customWidth="1"/>
    <col min="3839" max="3839" width="13.28515625" style="33" customWidth="1"/>
    <col min="3840" max="3840" width="11.85546875" style="33" bestFit="1" customWidth="1"/>
    <col min="3841" max="3841" width="13.28515625" style="33" customWidth="1"/>
    <col min="3842" max="3842" width="9.28515625" style="33" bestFit="1" customWidth="1"/>
    <col min="3843" max="3843" width="10.42578125" style="33" customWidth="1"/>
    <col min="3844" max="3844" width="9.28515625" style="33" bestFit="1" customWidth="1"/>
    <col min="3845" max="3847" width="9.140625" style="33"/>
    <col min="3848" max="3848" width="0" style="33" hidden="1" customWidth="1"/>
    <col min="3849" max="4093" width="9.140625" style="33"/>
    <col min="4094" max="4094" width="42" style="33" customWidth="1"/>
    <col min="4095" max="4095" width="13.28515625" style="33" customWidth="1"/>
    <col min="4096" max="4096" width="11.85546875" style="33" bestFit="1" customWidth="1"/>
    <col min="4097" max="4097" width="13.28515625" style="33" customWidth="1"/>
    <col min="4098" max="4098" width="9.28515625" style="33" bestFit="1" customWidth="1"/>
    <col min="4099" max="4099" width="10.42578125" style="33" customWidth="1"/>
    <col min="4100" max="4100" width="9.28515625" style="33" bestFit="1" customWidth="1"/>
    <col min="4101" max="4103" width="9.140625" style="33"/>
    <col min="4104" max="4104" width="0" style="33" hidden="1" customWidth="1"/>
    <col min="4105" max="4349" width="9.140625" style="33"/>
    <col min="4350" max="4350" width="42" style="33" customWidth="1"/>
    <col min="4351" max="4351" width="13.28515625" style="33" customWidth="1"/>
    <col min="4352" max="4352" width="11.85546875" style="33" bestFit="1" customWidth="1"/>
    <col min="4353" max="4353" width="13.28515625" style="33" customWidth="1"/>
    <col min="4354" max="4354" width="9.28515625" style="33" bestFit="1" customWidth="1"/>
    <col min="4355" max="4355" width="10.42578125" style="33" customWidth="1"/>
    <col min="4356" max="4356" width="9.28515625" style="33" bestFit="1" customWidth="1"/>
    <col min="4357" max="4359" width="9.140625" style="33"/>
    <col min="4360" max="4360" width="0" style="33" hidden="1" customWidth="1"/>
    <col min="4361" max="4605" width="9.140625" style="33"/>
    <col min="4606" max="4606" width="42" style="33" customWidth="1"/>
    <col min="4607" max="4607" width="13.28515625" style="33" customWidth="1"/>
    <col min="4608" max="4608" width="11.85546875" style="33" bestFit="1" customWidth="1"/>
    <col min="4609" max="4609" width="13.28515625" style="33" customWidth="1"/>
    <col min="4610" max="4610" width="9.28515625" style="33" bestFit="1" customWidth="1"/>
    <col min="4611" max="4611" width="10.42578125" style="33" customWidth="1"/>
    <col min="4612" max="4612" width="9.28515625" style="33" bestFit="1" customWidth="1"/>
    <col min="4613" max="4615" width="9.140625" style="33"/>
    <col min="4616" max="4616" width="0" style="33" hidden="1" customWidth="1"/>
    <col min="4617" max="4861" width="9.140625" style="33"/>
    <col min="4862" max="4862" width="42" style="33" customWidth="1"/>
    <col min="4863" max="4863" width="13.28515625" style="33" customWidth="1"/>
    <col min="4864" max="4864" width="11.85546875" style="33" bestFit="1" customWidth="1"/>
    <col min="4865" max="4865" width="13.28515625" style="33" customWidth="1"/>
    <col min="4866" max="4866" width="9.28515625" style="33" bestFit="1" customWidth="1"/>
    <col min="4867" max="4867" width="10.42578125" style="33" customWidth="1"/>
    <col min="4868" max="4868" width="9.28515625" style="33" bestFit="1" customWidth="1"/>
    <col min="4869" max="4871" width="9.140625" style="33"/>
    <col min="4872" max="4872" width="0" style="33" hidden="1" customWidth="1"/>
    <col min="4873" max="5117" width="9.140625" style="33"/>
    <col min="5118" max="5118" width="42" style="33" customWidth="1"/>
    <col min="5119" max="5119" width="13.28515625" style="33" customWidth="1"/>
    <col min="5120" max="5120" width="11.85546875" style="33" bestFit="1" customWidth="1"/>
    <col min="5121" max="5121" width="13.28515625" style="33" customWidth="1"/>
    <col min="5122" max="5122" width="9.28515625" style="33" bestFit="1" customWidth="1"/>
    <col min="5123" max="5123" width="10.42578125" style="33" customWidth="1"/>
    <col min="5124" max="5124" width="9.28515625" style="33" bestFit="1" customWidth="1"/>
    <col min="5125" max="5127" width="9.140625" style="33"/>
    <col min="5128" max="5128" width="0" style="33" hidden="1" customWidth="1"/>
    <col min="5129" max="5373" width="9.140625" style="33"/>
    <col min="5374" max="5374" width="42" style="33" customWidth="1"/>
    <col min="5375" max="5375" width="13.28515625" style="33" customWidth="1"/>
    <col min="5376" max="5376" width="11.85546875" style="33" bestFit="1" customWidth="1"/>
    <col min="5377" max="5377" width="13.28515625" style="33" customWidth="1"/>
    <col min="5378" max="5378" width="9.28515625" style="33" bestFit="1" customWidth="1"/>
    <col min="5379" max="5379" width="10.42578125" style="33" customWidth="1"/>
    <col min="5380" max="5380" width="9.28515625" style="33" bestFit="1" customWidth="1"/>
    <col min="5381" max="5383" width="9.140625" style="33"/>
    <col min="5384" max="5384" width="0" style="33" hidden="1" customWidth="1"/>
    <col min="5385" max="5629" width="9.140625" style="33"/>
    <col min="5630" max="5630" width="42" style="33" customWidth="1"/>
    <col min="5631" max="5631" width="13.28515625" style="33" customWidth="1"/>
    <col min="5632" max="5632" width="11.85546875" style="33" bestFit="1" customWidth="1"/>
    <col min="5633" max="5633" width="13.28515625" style="33" customWidth="1"/>
    <col min="5634" max="5634" width="9.28515625" style="33" bestFit="1" customWidth="1"/>
    <col min="5635" max="5635" width="10.42578125" style="33" customWidth="1"/>
    <col min="5636" max="5636" width="9.28515625" style="33" bestFit="1" customWidth="1"/>
    <col min="5637" max="5639" width="9.140625" style="33"/>
    <col min="5640" max="5640" width="0" style="33" hidden="1" customWidth="1"/>
    <col min="5641" max="5885" width="9.140625" style="33"/>
    <col min="5886" max="5886" width="42" style="33" customWidth="1"/>
    <col min="5887" max="5887" width="13.28515625" style="33" customWidth="1"/>
    <col min="5888" max="5888" width="11.85546875" style="33" bestFit="1" customWidth="1"/>
    <col min="5889" max="5889" width="13.28515625" style="33" customWidth="1"/>
    <col min="5890" max="5890" width="9.28515625" style="33" bestFit="1" customWidth="1"/>
    <col min="5891" max="5891" width="10.42578125" style="33" customWidth="1"/>
    <col min="5892" max="5892" width="9.28515625" style="33" bestFit="1" customWidth="1"/>
    <col min="5893" max="5895" width="9.140625" style="33"/>
    <col min="5896" max="5896" width="0" style="33" hidden="1" customWidth="1"/>
    <col min="5897" max="6141" width="9.140625" style="33"/>
    <col min="6142" max="6142" width="42" style="33" customWidth="1"/>
    <col min="6143" max="6143" width="13.28515625" style="33" customWidth="1"/>
    <col min="6144" max="6144" width="11.85546875" style="33" bestFit="1" customWidth="1"/>
    <col min="6145" max="6145" width="13.28515625" style="33" customWidth="1"/>
    <col min="6146" max="6146" width="9.28515625" style="33" bestFit="1" customWidth="1"/>
    <col min="6147" max="6147" width="10.42578125" style="33" customWidth="1"/>
    <col min="6148" max="6148" width="9.28515625" style="33" bestFit="1" customWidth="1"/>
    <col min="6149" max="6151" width="9.140625" style="33"/>
    <col min="6152" max="6152" width="0" style="33" hidden="1" customWidth="1"/>
    <col min="6153" max="6397" width="9.140625" style="33"/>
    <col min="6398" max="6398" width="42" style="33" customWidth="1"/>
    <col min="6399" max="6399" width="13.28515625" style="33" customWidth="1"/>
    <col min="6400" max="6400" width="11.85546875" style="33" bestFit="1" customWidth="1"/>
    <col min="6401" max="6401" width="13.28515625" style="33" customWidth="1"/>
    <col min="6402" max="6402" width="9.28515625" style="33" bestFit="1" customWidth="1"/>
    <col min="6403" max="6403" width="10.42578125" style="33" customWidth="1"/>
    <col min="6404" max="6404" width="9.28515625" style="33" bestFit="1" customWidth="1"/>
    <col min="6405" max="6407" width="9.140625" style="33"/>
    <col min="6408" max="6408" width="0" style="33" hidden="1" customWidth="1"/>
    <col min="6409" max="6653" width="9.140625" style="33"/>
    <col min="6654" max="6654" width="42" style="33" customWidth="1"/>
    <col min="6655" max="6655" width="13.28515625" style="33" customWidth="1"/>
    <col min="6656" max="6656" width="11.85546875" style="33" bestFit="1" customWidth="1"/>
    <col min="6657" max="6657" width="13.28515625" style="33" customWidth="1"/>
    <col min="6658" max="6658" width="9.28515625" style="33" bestFit="1" customWidth="1"/>
    <col min="6659" max="6659" width="10.42578125" style="33" customWidth="1"/>
    <col min="6660" max="6660" width="9.28515625" style="33" bestFit="1" customWidth="1"/>
    <col min="6661" max="6663" width="9.140625" style="33"/>
    <col min="6664" max="6664" width="0" style="33" hidden="1" customWidth="1"/>
    <col min="6665" max="6909" width="9.140625" style="33"/>
    <col min="6910" max="6910" width="42" style="33" customWidth="1"/>
    <col min="6911" max="6911" width="13.28515625" style="33" customWidth="1"/>
    <col min="6912" max="6912" width="11.85546875" style="33" bestFit="1" customWidth="1"/>
    <col min="6913" max="6913" width="13.28515625" style="33" customWidth="1"/>
    <col min="6914" max="6914" width="9.28515625" style="33" bestFit="1" customWidth="1"/>
    <col min="6915" max="6915" width="10.42578125" style="33" customWidth="1"/>
    <col min="6916" max="6916" width="9.28515625" style="33" bestFit="1" customWidth="1"/>
    <col min="6917" max="6919" width="9.140625" style="33"/>
    <col min="6920" max="6920" width="0" style="33" hidden="1" customWidth="1"/>
    <col min="6921" max="7165" width="9.140625" style="33"/>
    <col min="7166" max="7166" width="42" style="33" customWidth="1"/>
    <col min="7167" max="7167" width="13.28515625" style="33" customWidth="1"/>
    <col min="7168" max="7168" width="11.85546875" style="33" bestFit="1" customWidth="1"/>
    <col min="7169" max="7169" width="13.28515625" style="33" customWidth="1"/>
    <col min="7170" max="7170" width="9.28515625" style="33" bestFit="1" customWidth="1"/>
    <col min="7171" max="7171" width="10.42578125" style="33" customWidth="1"/>
    <col min="7172" max="7172" width="9.28515625" style="33" bestFit="1" customWidth="1"/>
    <col min="7173" max="7175" width="9.140625" style="33"/>
    <col min="7176" max="7176" width="0" style="33" hidden="1" customWidth="1"/>
    <col min="7177" max="7421" width="9.140625" style="33"/>
    <col min="7422" max="7422" width="42" style="33" customWidth="1"/>
    <col min="7423" max="7423" width="13.28515625" style="33" customWidth="1"/>
    <col min="7424" max="7424" width="11.85546875" style="33" bestFit="1" customWidth="1"/>
    <col min="7425" max="7425" width="13.28515625" style="33" customWidth="1"/>
    <col min="7426" max="7426" width="9.28515625" style="33" bestFit="1" customWidth="1"/>
    <col min="7427" max="7427" width="10.42578125" style="33" customWidth="1"/>
    <col min="7428" max="7428" width="9.28515625" style="33" bestFit="1" customWidth="1"/>
    <col min="7429" max="7431" width="9.140625" style="33"/>
    <col min="7432" max="7432" width="0" style="33" hidden="1" customWidth="1"/>
    <col min="7433" max="7677" width="9.140625" style="33"/>
    <col min="7678" max="7678" width="42" style="33" customWidth="1"/>
    <col min="7679" max="7679" width="13.28515625" style="33" customWidth="1"/>
    <col min="7680" max="7680" width="11.85546875" style="33" bestFit="1" customWidth="1"/>
    <col min="7681" max="7681" width="13.28515625" style="33" customWidth="1"/>
    <col min="7682" max="7682" width="9.28515625" style="33" bestFit="1" customWidth="1"/>
    <col min="7683" max="7683" width="10.42578125" style="33" customWidth="1"/>
    <col min="7684" max="7684" width="9.28515625" style="33" bestFit="1" customWidth="1"/>
    <col min="7685" max="7687" width="9.140625" style="33"/>
    <col min="7688" max="7688" width="0" style="33" hidden="1" customWidth="1"/>
    <col min="7689" max="7933" width="9.140625" style="33"/>
    <col min="7934" max="7934" width="42" style="33" customWidth="1"/>
    <col min="7935" max="7935" width="13.28515625" style="33" customWidth="1"/>
    <col min="7936" max="7936" width="11.85546875" style="33" bestFit="1" customWidth="1"/>
    <col min="7937" max="7937" width="13.28515625" style="33" customWidth="1"/>
    <col min="7938" max="7938" width="9.28515625" style="33" bestFit="1" customWidth="1"/>
    <col min="7939" max="7939" width="10.42578125" style="33" customWidth="1"/>
    <col min="7940" max="7940" width="9.28515625" style="33" bestFit="1" customWidth="1"/>
    <col min="7941" max="7943" width="9.140625" style="33"/>
    <col min="7944" max="7944" width="0" style="33" hidden="1" customWidth="1"/>
    <col min="7945" max="8189" width="9.140625" style="33"/>
    <col min="8190" max="8190" width="42" style="33" customWidth="1"/>
    <col min="8191" max="8191" width="13.28515625" style="33" customWidth="1"/>
    <col min="8192" max="8192" width="11.85546875" style="33" bestFit="1" customWidth="1"/>
    <col min="8193" max="8193" width="13.28515625" style="33" customWidth="1"/>
    <col min="8194" max="8194" width="9.28515625" style="33" bestFit="1" customWidth="1"/>
    <col min="8195" max="8195" width="10.42578125" style="33" customWidth="1"/>
    <col min="8196" max="8196" width="9.28515625" style="33" bestFit="1" customWidth="1"/>
    <col min="8197" max="8199" width="9.140625" style="33"/>
    <col min="8200" max="8200" width="0" style="33" hidden="1" customWidth="1"/>
    <col min="8201" max="8445" width="9.140625" style="33"/>
    <col min="8446" max="8446" width="42" style="33" customWidth="1"/>
    <col min="8447" max="8447" width="13.28515625" style="33" customWidth="1"/>
    <col min="8448" max="8448" width="11.85546875" style="33" bestFit="1" customWidth="1"/>
    <col min="8449" max="8449" width="13.28515625" style="33" customWidth="1"/>
    <col min="8450" max="8450" width="9.28515625" style="33" bestFit="1" customWidth="1"/>
    <col min="8451" max="8451" width="10.42578125" style="33" customWidth="1"/>
    <col min="8452" max="8452" width="9.28515625" style="33" bestFit="1" customWidth="1"/>
    <col min="8453" max="8455" width="9.140625" style="33"/>
    <col min="8456" max="8456" width="0" style="33" hidden="1" customWidth="1"/>
    <col min="8457" max="8701" width="9.140625" style="33"/>
    <col min="8702" max="8702" width="42" style="33" customWidth="1"/>
    <col min="8703" max="8703" width="13.28515625" style="33" customWidth="1"/>
    <col min="8704" max="8704" width="11.85546875" style="33" bestFit="1" customWidth="1"/>
    <col min="8705" max="8705" width="13.28515625" style="33" customWidth="1"/>
    <col min="8706" max="8706" width="9.28515625" style="33" bestFit="1" customWidth="1"/>
    <col min="8707" max="8707" width="10.42578125" style="33" customWidth="1"/>
    <col min="8708" max="8708" width="9.28515625" style="33" bestFit="1" customWidth="1"/>
    <col min="8709" max="8711" width="9.140625" style="33"/>
    <col min="8712" max="8712" width="0" style="33" hidden="1" customWidth="1"/>
    <col min="8713" max="8957" width="9.140625" style="33"/>
    <col min="8958" max="8958" width="42" style="33" customWidth="1"/>
    <col min="8959" max="8959" width="13.28515625" style="33" customWidth="1"/>
    <col min="8960" max="8960" width="11.85546875" style="33" bestFit="1" customWidth="1"/>
    <col min="8961" max="8961" width="13.28515625" style="33" customWidth="1"/>
    <col min="8962" max="8962" width="9.28515625" style="33" bestFit="1" customWidth="1"/>
    <col min="8963" max="8963" width="10.42578125" style="33" customWidth="1"/>
    <col min="8964" max="8964" width="9.28515625" style="33" bestFit="1" customWidth="1"/>
    <col min="8965" max="8967" width="9.140625" style="33"/>
    <col min="8968" max="8968" width="0" style="33" hidden="1" customWidth="1"/>
    <col min="8969" max="9213" width="9.140625" style="33"/>
    <col min="9214" max="9214" width="42" style="33" customWidth="1"/>
    <col min="9215" max="9215" width="13.28515625" style="33" customWidth="1"/>
    <col min="9216" max="9216" width="11.85546875" style="33" bestFit="1" customWidth="1"/>
    <col min="9217" max="9217" width="13.28515625" style="33" customWidth="1"/>
    <col min="9218" max="9218" width="9.28515625" style="33" bestFit="1" customWidth="1"/>
    <col min="9219" max="9219" width="10.42578125" style="33" customWidth="1"/>
    <col min="9220" max="9220" width="9.28515625" style="33" bestFit="1" customWidth="1"/>
    <col min="9221" max="9223" width="9.140625" style="33"/>
    <col min="9224" max="9224" width="0" style="33" hidden="1" customWidth="1"/>
    <col min="9225" max="9469" width="9.140625" style="33"/>
    <col min="9470" max="9470" width="42" style="33" customWidth="1"/>
    <col min="9471" max="9471" width="13.28515625" style="33" customWidth="1"/>
    <col min="9472" max="9472" width="11.85546875" style="33" bestFit="1" customWidth="1"/>
    <col min="9473" max="9473" width="13.28515625" style="33" customWidth="1"/>
    <col min="9474" max="9474" width="9.28515625" style="33" bestFit="1" customWidth="1"/>
    <col min="9475" max="9475" width="10.42578125" style="33" customWidth="1"/>
    <col min="9476" max="9476" width="9.28515625" style="33" bestFit="1" customWidth="1"/>
    <col min="9477" max="9479" width="9.140625" style="33"/>
    <col min="9480" max="9480" width="0" style="33" hidden="1" customWidth="1"/>
    <col min="9481" max="9725" width="9.140625" style="33"/>
    <col min="9726" max="9726" width="42" style="33" customWidth="1"/>
    <col min="9727" max="9727" width="13.28515625" style="33" customWidth="1"/>
    <col min="9728" max="9728" width="11.85546875" style="33" bestFit="1" customWidth="1"/>
    <col min="9729" max="9729" width="13.28515625" style="33" customWidth="1"/>
    <col min="9730" max="9730" width="9.28515625" style="33" bestFit="1" customWidth="1"/>
    <col min="9731" max="9731" width="10.42578125" style="33" customWidth="1"/>
    <col min="9732" max="9732" width="9.28515625" style="33" bestFit="1" customWidth="1"/>
    <col min="9733" max="9735" width="9.140625" style="33"/>
    <col min="9736" max="9736" width="0" style="33" hidden="1" customWidth="1"/>
    <col min="9737" max="9981" width="9.140625" style="33"/>
    <col min="9982" max="9982" width="42" style="33" customWidth="1"/>
    <col min="9983" max="9983" width="13.28515625" style="33" customWidth="1"/>
    <col min="9984" max="9984" width="11.85546875" style="33" bestFit="1" customWidth="1"/>
    <col min="9985" max="9985" width="13.28515625" style="33" customWidth="1"/>
    <col min="9986" max="9986" width="9.28515625" style="33" bestFit="1" customWidth="1"/>
    <col min="9987" max="9987" width="10.42578125" style="33" customWidth="1"/>
    <col min="9988" max="9988" width="9.28515625" style="33" bestFit="1" customWidth="1"/>
    <col min="9989" max="9991" width="9.140625" style="33"/>
    <col min="9992" max="9992" width="0" style="33" hidden="1" customWidth="1"/>
    <col min="9993" max="10237" width="9.140625" style="33"/>
    <col min="10238" max="10238" width="42" style="33" customWidth="1"/>
    <col min="10239" max="10239" width="13.28515625" style="33" customWidth="1"/>
    <col min="10240" max="10240" width="11.85546875" style="33" bestFit="1" customWidth="1"/>
    <col min="10241" max="10241" width="13.28515625" style="33" customWidth="1"/>
    <col min="10242" max="10242" width="9.28515625" style="33" bestFit="1" customWidth="1"/>
    <col min="10243" max="10243" width="10.42578125" style="33" customWidth="1"/>
    <col min="10244" max="10244" width="9.28515625" style="33" bestFit="1" customWidth="1"/>
    <col min="10245" max="10247" width="9.140625" style="33"/>
    <col min="10248" max="10248" width="0" style="33" hidden="1" customWidth="1"/>
    <col min="10249" max="10493" width="9.140625" style="33"/>
    <col min="10494" max="10494" width="42" style="33" customWidth="1"/>
    <col min="10495" max="10495" width="13.28515625" style="33" customWidth="1"/>
    <col min="10496" max="10496" width="11.85546875" style="33" bestFit="1" customWidth="1"/>
    <col min="10497" max="10497" width="13.28515625" style="33" customWidth="1"/>
    <col min="10498" max="10498" width="9.28515625" style="33" bestFit="1" customWidth="1"/>
    <col min="10499" max="10499" width="10.42578125" style="33" customWidth="1"/>
    <col min="10500" max="10500" width="9.28515625" style="33" bestFit="1" customWidth="1"/>
    <col min="10501" max="10503" width="9.140625" style="33"/>
    <col min="10504" max="10504" width="0" style="33" hidden="1" customWidth="1"/>
    <col min="10505" max="10749" width="9.140625" style="33"/>
    <col min="10750" max="10750" width="42" style="33" customWidth="1"/>
    <col min="10751" max="10751" width="13.28515625" style="33" customWidth="1"/>
    <col min="10752" max="10752" width="11.85546875" style="33" bestFit="1" customWidth="1"/>
    <col min="10753" max="10753" width="13.28515625" style="33" customWidth="1"/>
    <col min="10754" max="10754" width="9.28515625" style="33" bestFit="1" customWidth="1"/>
    <col min="10755" max="10755" width="10.42578125" style="33" customWidth="1"/>
    <col min="10756" max="10756" width="9.28515625" style="33" bestFit="1" customWidth="1"/>
    <col min="10757" max="10759" width="9.140625" style="33"/>
    <col min="10760" max="10760" width="0" style="33" hidden="1" customWidth="1"/>
    <col min="10761" max="11005" width="9.140625" style="33"/>
    <col min="11006" max="11006" width="42" style="33" customWidth="1"/>
    <col min="11007" max="11007" width="13.28515625" style="33" customWidth="1"/>
    <col min="11008" max="11008" width="11.85546875" style="33" bestFit="1" customWidth="1"/>
    <col min="11009" max="11009" width="13.28515625" style="33" customWidth="1"/>
    <col min="11010" max="11010" width="9.28515625" style="33" bestFit="1" customWidth="1"/>
    <col min="11011" max="11011" width="10.42578125" style="33" customWidth="1"/>
    <col min="11012" max="11012" width="9.28515625" style="33" bestFit="1" customWidth="1"/>
    <col min="11013" max="11015" width="9.140625" style="33"/>
    <col min="11016" max="11016" width="0" style="33" hidden="1" customWidth="1"/>
    <col min="11017" max="11261" width="9.140625" style="33"/>
    <col min="11262" max="11262" width="42" style="33" customWidth="1"/>
    <col min="11263" max="11263" width="13.28515625" style="33" customWidth="1"/>
    <col min="11264" max="11264" width="11.85546875" style="33" bestFit="1" customWidth="1"/>
    <col min="11265" max="11265" width="13.28515625" style="33" customWidth="1"/>
    <col min="11266" max="11266" width="9.28515625" style="33" bestFit="1" customWidth="1"/>
    <col min="11267" max="11267" width="10.42578125" style="33" customWidth="1"/>
    <col min="11268" max="11268" width="9.28515625" style="33" bestFit="1" customWidth="1"/>
    <col min="11269" max="11271" width="9.140625" style="33"/>
    <col min="11272" max="11272" width="0" style="33" hidden="1" customWidth="1"/>
    <col min="11273" max="11517" width="9.140625" style="33"/>
    <col min="11518" max="11518" width="42" style="33" customWidth="1"/>
    <col min="11519" max="11519" width="13.28515625" style="33" customWidth="1"/>
    <col min="11520" max="11520" width="11.85546875" style="33" bestFit="1" customWidth="1"/>
    <col min="11521" max="11521" width="13.28515625" style="33" customWidth="1"/>
    <col min="11522" max="11522" width="9.28515625" style="33" bestFit="1" customWidth="1"/>
    <col min="11523" max="11523" width="10.42578125" style="33" customWidth="1"/>
    <col min="11524" max="11524" width="9.28515625" style="33" bestFit="1" customWidth="1"/>
    <col min="11525" max="11527" width="9.140625" style="33"/>
    <col min="11528" max="11528" width="0" style="33" hidden="1" customWidth="1"/>
    <col min="11529" max="11773" width="9.140625" style="33"/>
    <col min="11774" max="11774" width="42" style="33" customWidth="1"/>
    <col min="11775" max="11775" width="13.28515625" style="33" customWidth="1"/>
    <col min="11776" max="11776" width="11.85546875" style="33" bestFit="1" customWidth="1"/>
    <col min="11777" max="11777" width="13.28515625" style="33" customWidth="1"/>
    <col min="11778" max="11778" width="9.28515625" style="33" bestFit="1" customWidth="1"/>
    <col min="11779" max="11779" width="10.42578125" style="33" customWidth="1"/>
    <col min="11780" max="11780" width="9.28515625" style="33" bestFit="1" customWidth="1"/>
    <col min="11781" max="11783" width="9.140625" style="33"/>
    <col min="11784" max="11784" width="0" style="33" hidden="1" customWidth="1"/>
    <col min="11785" max="12029" width="9.140625" style="33"/>
    <col min="12030" max="12030" width="42" style="33" customWidth="1"/>
    <col min="12031" max="12031" width="13.28515625" style="33" customWidth="1"/>
    <col min="12032" max="12032" width="11.85546875" style="33" bestFit="1" customWidth="1"/>
    <col min="12033" max="12033" width="13.28515625" style="33" customWidth="1"/>
    <col min="12034" max="12034" width="9.28515625" style="33" bestFit="1" customWidth="1"/>
    <col min="12035" max="12035" width="10.42578125" style="33" customWidth="1"/>
    <col min="12036" max="12036" width="9.28515625" style="33" bestFit="1" customWidth="1"/>
    <col min="12037" max="12039" width="9.140625" style="33"/>
    <col min="12040" max="12040" width="0" style="33" hidden="1" customWidth="1"/>
    <col min="12041" max="12285" width="9.140625" style="33"/>
    <col min="12286" max="12286" width="42" style="33" customWidth="1"/>
    <col min="12287" max="12287" width="13.28515625" style="33" customWidth="1"/>
    <col min="12288" max="12288" width="11.85546875" style="33" bestFit="1" customWidth="1"/>
    <col min="12289" max="12289" width="13.28515625" style="33" customWidth="1"/>
    <col min="12290" max="12290" width="9.28515625" style="33" bestFit="1" customWidth="1"/>
    <col min="12291" max="12291" width="10.42578125" style="33" customWidth="1"/>
    <col min="12292" max="12292" width="9.28515625" style="33" bestFit="1" customWidth="1"/>
    <col min="12293" max="12295" width="9.140625" style="33"/>
    <col min="12296" max="12296" width="0" style="33" hidden="1" customWidth="1"/>
    <col min="12297" max="12541" width="9.140625" style="33"/>
    <col min="12542" max="12542" width="42" style="33" customWidth="1"/>
    <col min="12543" max="12543" width="13.28515625" style="33" customWidth="1"/>
    <col min="12544" max="12544" width="11.85546875" style="33" bestFit="1" customWidth="1"/>
    <col min="12545" max="12545" width="13.28515625" style="33" customWidth="1"/>
    <col min="12546" max="12546" width="9.28515625" style="33" bestFit="1" customWidth="1"/>
    <col min="12547" max="12547" width="10.42578125" style="33" customWidth="1"/>
    <col min="12548" max="12548" width="9.28515625" style="33" bestFit="1" customWidth="1"/>
    <col min="12549" max="12551" width="9.140625" style="33"/>
    <col min="12552" max="12552" width="0" style="33" hidden="1" customWidth="1"/>
    <col min="12553" max="12797" width="9.140625" style="33"/>
    <col min="12798" max="12798" width="42" style="33" customWidth="1"/>
    <col min="12799" max="12799" width="13.28515625" style="33" customWidth="1"/>
    <col min="12800" max="12800" width="11.85546875" style="33" bestFit="1" customWidth="1"/>
    <col min="12801" max="12801" width="13.28515625" style="33" customWidth="1"/>
    <col min="12802" max="12802" width="9.28515625" style="33" bestFit="1" customWidth="1"/>
    <col min="12803" max="12803" width="10.42578125" style="33" customWidth="1"/>
    <col min="12804" max="12804" width="9.28515625" style="33" bestFit="1" customWidth="1"/>
    <col min="12805" max="12807" width="9.140625" style="33"/>
    <col min="12808" max="12808" width="0" style="33" hidden="1" customWidth="1"/>
    <col min="12809" max="13053" width="9.140625" style="33"/>
    <col min="13054" max="13054" width="42" style="33" customWidth="1"/>
    <col min="13055" max="13055" width="13.28515625" style="33" customWidth="1"/>
    <col min="13056" max="13056" width="11.85546875" style="33" bestFit="1" customWidth="1"/>
    <col min="13057" max="13057" width="13.28515625" style="33" customWidth="1"/>
    <col min="13058" max="13058" width="9.28515625" style="33" bestFit="1" customWidth="1"/>
    <col min="13059" max="13059" width="10.42578125" style="33" customWidth="1"/>
    <col min="13060" max="13060" width="9.28515625" style="33" bestFit="1" customWidth="1"/>
    <col min="13061" max="13063" width="9.140625" style="33"/>
    <col min="13064" max="13064" width="0" style="33" hidden="1" customWidth="1"/>
    <col min="13065" max="13309" width="9.140625" style="33"/>
    <col min="13310" max="13310" width="42" style="33" customWidth="1"/>
    <col min="13311" max="13311" width="13.28515625" style="33" customWidth="1"/>
    <col min="13312" max="13312" width="11.85546875" style="33" bestFit="1" customWidth="1"/>
    <col min="13313" max="13313" width="13.28515625" style="33" customWidth="1"/>
    <col min="13314" max="13314" width="9.28515625" style="33" bestFit="1" customWidth="1"/>
    <col min="13315" max="13315" width="10.42578125" style="33" customWidth="1"/>
    <col min="13316" max="13316" width="9.28515625" style="33" bestFit="1" customWidth="1"/>
    <col min="13317" max="13319" width="9.140625" style="33"/>
    <col min="13320" max="13320" width="0" style="33" hidden="1" customWidth="1"/>
    <col min="13321" max="13565" width="9.140625" style="33"/>
    <col min="13566" max="13566" width="42" style="33" customWidth="1"/>
    <col min="13567" max="13567" width="13.28515625" style="33" customWidth="1"/>
    <col min="13568" max="13568" width="11.85546875" style="33" bestFit="1" customWidth="1"/>
    <col min="13569" max="13569" width="13.28515625" style="33" customWidth="1"/>
    <col min="13570" max="13570" width="9.28515625" style="33" bestFit="1" customWidth="1"/>
    <col min="13571" max="13571" width="10.42578125" style="33" customWidth="1"/>
    <col min="13572" max="13572" width="9.28515625" style="33" bestFit="1" customWidth="1"/>
    <col min="13573" max="13575" width="9.140625" style="33"/>
    <col min="13576" max="13576" width="0" style="33" hidden="1" customWidth="1"/>
    <col min="13577" max="13821" width="9.140625" style="33"/>
    <col min="13822" max="13822" width="42" style="33" customWidth="1"/>
    <col min="13823" max="13823" width="13.28515625" style="33" customWidth="1"/>
    <col min="13824" max="13824" width="11.85546875" style="33" bestFit="1" customWidth="1"/>
    <col min="13825" max="13825" width="13.28515625" style="33" customWidth="1"/>
    <col min="13826" max="13826" width="9.28515625" style="33" bestFit="1" customWidth="1"/>
    <col min="13827" max="13827" width="10.42578125" style="33" customWidth="1"/>
    <col min="13828" max="13828" width="9.28515625" style="33" bestFit="1" customWidth="1"/>
    <col min="13829" max="13831" width="9.140625" style="33"/>
    <col min="13832" max="13832" width="0" style="33" hidden="1" customWidth="1"/>
    <col min="13833" max="14077" width="9.140625" style="33"/>
    <col min="14078" max="14078" width="42" style="33" customWidth="1"/>
    <col min="14079" max="14079" width="13.28515625" style="33" customWidth="1"/>
    <col min="14080" max="14080" width="11.85546875" style="33" bestFit="1" customWidth="1"/>
    <col min="14081" max="14081" width="13.28515625" style="33" customWidth="1"/>
    <col min="14082" max="14082" width="9.28515625" style="33" bestFit="1" customWidth="1"/>
    <col min="14083" max="14083" width="10.42578125" style="33" customWidth="1"/>
    <col min="14084" max="14084" width="9.28515625" style="33" bestFit="1" customWidth="1"/>
    <col min="14085" max="14087" width="9.140625" style="33"/>
    <col min="14088" max="14088" width="0" style="33" hidden="1" customWidth="1"/>
    <col min="14089" max="14333" width="9.140625" style="33"/>
    <col min="14334" max="14334" width="42" style="33" customWidth="1"/>
    <col min="14335" max="14335" width="13.28515625" style="33" customWidth="1"/>
    <col min="14336" max="14336" width="11.85546875" style="33" bestFit="1" customWidth="1"/>
    <col min="14337" max="14337" width="13.28515625" style="33" customWidth="1"/>
    <col min="14338" max="14338" width="9.28515625" style="33" bestFit="1" customWidth="1"/>
    <col min="14339" max="14339" width="10.42578125" style="33" customWidth="1"/>
    <col min="14340" max="14340" width="9.28515625" style="33" bestFit="1" customWidth="1"/>
    <col min="14341" max="14343" width="9.140625" style="33"/>
    <col min="14344" max="14344" width="0" style="33" hidden="1" customWidth="1"/>
    <col min="14345" max="14589" width="9.140625" style="33"/>
    <col min="14590" max="14590" width="42" style="33" customWidth="1"/>
    <col min="14591" max="14591" width="13.28515625" style="33" customWidth="1"/>
    <col min="14592" max="14592" width="11.85546875" style="33" bestFit="1" customWidth="1"/>
    <col min="14593" max="14593" width="13.28515625" style="33" customWidth="1"/>
    <col min="14594" max="14594" width="9.28515625" style="33" bestFit="1" customWidth="1"/>
    <col min="14595" max="14595" width="10.42578125" style="33" customWidth="1"/>
    <col min="14596" max="14596" width="9.28515625" style="33" bestFit="1" customWidth="1"/>
    <col min="14597" max="14599" width="9.140625" style="33"/>
    <col min="14600" max="14600" width="0" style="33" hidden="1" customWidth="1"/>
    <col min="14601" max="14845" width="9.140625" style="33"/>
    <col min="14846" max="14846" width="42" style="33" customWidth="1"/>
    <col min="14847" max="14847" width="13.28515625" style="33" customWidth="1"/>
    <col min="14848" max="14848" width="11.85546875" style="33" bestFit="1" customWidth="1"/>
    <col min="14849" max="14849" width="13.28515625" style="33" customWidth="1"/>
    <col min="14850" max="14850" width="9.28515625" style="33" bestFit="1" customWidth="1"/>
    <col min="14851" max="14851" width="10.42578125" style="33" customWidth="1"/>
    <col min="14852" max="14852" width="9.28515625" style="33" bestFit="1" customWidth="1"/>
    <col min="14853" max="14855" width="9.140625" style="33"/>
    <col min="14856" max="14856" width="0" style="33" hidden="1" customWidth="1"/>
    <col min="14857" max="15101" width="9.140625" style="33"/>
    <col min="15102" max="15102" width="42" style="33" customWidth="1"/>
    <col min="15103" max="15103" width="13.28515625" style="33" customWidth="1"/>
    <col min="15104" max="15104" width="11.85546875" style="33" bestFit="1" customWidth="1"/>
    <col min="15105" max="15105" width="13.28515625" style="33" customWidth="1"/>
    <col min="15106" max="15106" width="9.28515625" style="33" bestFit="1" customWidth="1"/>
    <col min="15107" max="15107" width="10.42578125" style="33" customWidth="1"/>
    <col min="15108" max="15108" width="9.28515625" style="33" bestFit="1" customWidth="1"/>
    <col min="15109" max="15111" width="9.140625" style="33"/>
    <col min="15112" max="15112" width="0" style="33" hidden="1" customWidth="1"/>
    <col min="15113" max="15357" width="9.140625" style="33"/>
    <col min="15358" max="15358" width="42" style="33" customWidth="1"/>
    <col min="15359" max="15359" width="13.28515625" style="33" customWidth="1"/>
    <col min="15360" max="15360" width="11.85546875" style="33" bestFit="1" customWidth="1"/>
    <col min="15361" max="15361" width="13.28515625" style="33" customWidth="1"/>
    <col min="15362" max="15362" width="9.28515625" style="33" bestFit="1" customWidth="1"/>
    <col min="15363" max="15363" width="10.42578125" style="33" customWidth="1"/>
    <col min="15364" max="15364" width="9.28515625" style="33" bestFit="1" customWidth="1"/>
    <col min="15365" max="15367" width="9.140625" style="33"/>
    <col min="15368" max="15368" width="0" style="33" hidden="1" customWidth="1"/>
    <col min="15369" max="15613" width="9.140625" style="33"/>
    <col min="15614" max="15614" width="42" style="33" customWidth="1"/>
    <col min="15615" max="15615" width="13.28515625" style="33" customWidth="1"/>
    <col min="15616" max="15616" width="11.85546875" style="33" bestFit="1" customWidth="1"/>
    <col min="15617" max="15617" width="13.28515625" style="33" customWidth="1"/>
    <col min="15618" max="15618" width="9.28515625" style="33" bestFit="1" customWidth="1"/>
    <col min="15619" max="15619" width="10.42578125" style="33" customWidth="1"/>
    <col min="15620" max="15620" width="9.28515625" style="33" bestFit="1" customWidth="1"/>
    <col min="15621" max="15623" width="9.140625" style="33"/>
    <col min="15624" max="15624" width="0" style="33" hidden="1" customWidth="1"/>
    <col min="15625" max="15869" width="9.140625" style="33"/>
    <col min="15870" max="15870" width="42" style="33" customWidth="1"/>
    <col min="15871" max="15871" width="13.28515625" style="33" customWidth="1"/>
    <col min="15872" max="15872" width="11.85546875" style="33" bestFit="1" customWidth="1"/>
    <col min="15873" max="15873" width="13.28515625" style="33" customWidth="1"/>
    <col min="15874" max="15874" width="9.28515625" style="33" bestFit="1" customWidth="1"/>
    <col min="15875" max="15875" width="10.42578125" style="33" customWidth="1"/>
    <col min="15876" max="15876" width="9.28515625" style="33" bestFit="1" customWidth="1"/>
    <col min="15877" max="15879" width="9.140625" style="33"/>
    <col min="15880" max="15880" width="0" style="33" hidden="1" customWidth="1"/>
    <col min="15881" max="16125" width="9.140625" style="33"/>
    <col min="16126" max="16126" width="42" style="33" customWidth="1"/>
    <col min="16127" max="16127" width="13.28515625" style="33" customWidth="1"/>
    <col min="16128" max="16128" width="11.85546875" style="33" bestFit="1" customWidth="1"/>
    <col min="16129" max="16129" width="13.28515625" style="33" customWidth="1"/>
    <col min="16130" max="16130" width="9.28515625" style="33" bestFit="1" customWidth="1"/>
    <col min="16131" max="16131" width="10.42578125" style="33" customWidth="1"/>
    <col min="16132" max="16132" width="9.28515625" style="33" bestFit="1" customWidth="1"/>
    <col min="16133" max="16135" width="9.140625" style="33"/>
    <col min="16136" max="16136" width="0" style="33" hidden="1" customWidth="1"/>
    <col min="16137" max="16384" width="9.140625" style="33"/>
  </cols>
  <sheetData>
    <row r="1" spans="1:8" ht="29.25" customHeight="1" x14ac:dyDescent="0.2">
      <c r="A1" s="116" t="s">
        <v>98</v>
      </c>
      <c r="B1" s="116"/>
      <c r="C1" s="116"/>
      <c r="D1" s="116"/>
      <c r="E1" s="117"/>
      <c r="F1" s="117"/>
      <c r="G1" s="117"/>
    </row>
    <row r="2" spans="1:8" ht="6" customHeight="1" x14ac:dyDescent="0.2">
      <c r="A2" s="53"/>
      <c r="B2" s="22"/>
      <c r="C2" s="22"/>
      <c r="D2" s="22"/>
      <c r="E2" s="22"/>
      <c r="F2" s="22"/>
      <c r="G2" s="22"/>
    </row>
    <row r="3" spans="1:8" ht="24.95" customHeight="1" x14ac:dyDescent="0.2">
      <c r="A3" s="123" t="s">
        <v>14</v>
      </c>
      <c r="B3" s="124" t="s">
        <v>31</v>
      </c>
      <c r="C3" s="124"/>
      <c r="D3" s="124"/>
      <c r="E3" s="124"/>
      <c r="F3" s="124"/>
      <c r="G3" s="118" t="s">
        <v>32</v>
      </c>
    </row>
    <row r="4" spans="1:8" ht="24.95" customHeight="1" x14ac:dyDescent="0.2">
      <c r="A4" s="123"/>
      <c r="B4" s="120" t="s">
        <v>18</v>
      </c>
      <c r="C4" s="120"/>
      <c r="D4" s="120" t="s">
        <v>46</v>
      </c>
      <c r="E4" s="121" t="s">
        <v>33</v>
      </c>
      <c r="F4" s="122"/>
      <c r="G4" s="119"/>
    </row>
    <row r="5" spans="1:8" ht="13.5" customHeight="1" x14ac:dyDescent="0.2">
      <c r="A5" s="123"/>
      <c r="B5" s="54" t="s">
        <v>19</v>
      </c>
      <c r="C5" s="54" t="s">
        <v>20</v>
      </c>
      <c r="D5" s="120"/>
      <c r="E5" s="54" t="s">
        <v>19</v>
      </c>
      <c r="F5" s="54" t="s">
        <v>20</v>
      </c>
      <c r="G5" s="119"/>
    </row>
    <row r="6" spans="1:8" ht="13.5" customHeight="1" thickBot="1" x14ac:dyDescent="0.25">
      <c r="A6" s="55" t="s">
        <v>34</v>
      </c>
      <c r="B6" s="56">
        <f>SUM(B7:B11)</f>
        <v>47402989.649999999</v>
      </c>
      <c r="C6" s="56">
        <f>SUM(C7:C11)</f>
        <v>57360829.160000004</v>
      </c>
      <c r="D6" s="56">
        <f>SUM(D7:D11)</f>
        <v>56441984</v>
      </c>
      <c r="E6" s="56">
        <f>D6/B6*100</f>
        <v>119.06840563588798</v>
      </c>
      <c r="F6" s="56">
        <f>D6/C6*100</f>
        <v>98.398131314599695</v>
      </c>
      <c r="G6" s="57">
        <f>D6/D38*100</f>
        <v>33.796111776811792</v>
      </c>
    </row>
    <row r="7" spans="1:8" ht="67.5" x14ac:dyDescent="0.2">
      <c r="A7" s="58" t="s">
        <v>21</v>
      </c>
      <c r="B7" s="97">
        <v>2169180</v>
      </c>
      <c r="C7" s="97">
        <v>2169180</v>
      </c>
      <c r="D7" s="59">
        <v>2169180</v>
      </c>
      <c r="E7" s="60">
        <f t="shared" ref="E7:E38" si="0">D7/B7*100</f>
        <v>100</v>
      </c>
      <c r="F7" s="60">
        <f t="shared" ref="F7:F38" si="1">D7/C7*100</f>
        <v>100</v>
      </c>
      <c r="G7" s="57"/>
      <c r="H7" s="36">
        <f>SUM(H8:H14)</f>
        <v>24895348.299999997</v>
      </c>
    </row>
    <row r="8" spans="1:8" ht="90" x14ac:dyDescent="0.2">
      <c r="A8" s="58" t="s">
        <v>35</v>
      </c>
      <c r="B8" s="97">
        <v>15914223.66</v>
      </c>
      <c r="C8" s="97">
        <v>18441487.670000002</v>
      </c>
      <c r="D8" s="59">
        <v>17888243</v>
      </c>
      <c r="E8" s="60">
        <f t="shared" si="0"/>
        <v>112.40411962389123</v>
      </c>
      <c r="F8" s="60">
        <f t="shared" si="1"/>
        <v>96.999999783640007</v>
      </c>
      <c r="G8" s="57"/>
      <c r="H8" s="37">
        <v>4926766.3</v>
      </c>
    </row>
    <row r="9" spans="1:8" ht="22.5" hidden="1" x14ac:dyDescent="0.2">
      <c r="A9" s="58" t="s">
        <v>79</v>
      </c>
      <c r="B9" s="97"/>
      <c r="C9" s="97"/>
      <c r="D9" s="59"/>
      <c r="E9" s="60"/>
      <c r="F9" s="60"/>
      <c r="G9" s="57"/>
      <c r="H9" s="37"/>
    </row>
    <row r="10" spans="1:8" x14ac:dyDescent="0.2">
      <c r="A10" s="58" t="s">
        <v>22</v>
      </c>
      <c r="B10" s="97">
        <v>200000</v>
      </c>
      <c r="C10" s="97">
        <v>200000</v>
      </c>
      <c r="D10" s="60">
        <v>200000</v>
      </c>
      <c r="E10" s="60">
        <f t="shared" si="0"/>
        <v>100</v>
      </c>
      <c r="F10" s="60">
        <f t="shared" si="1"/>
        <v>100</v>
      </c>
      <c r="G10" s="57"/>
      <c r="H10" s="37">
        <f>1694010+477805.5+144296.9</f>
        <v>2316112.4</v>
      </c>
    </row>
    <row r="11" spans="1:8" ht="25.5" customHeight="1" x14ac:dyDescent="0.2">
      <c r="A11" s="58" t="s">
        <v>23</v>
      </c>
      <c r="B11" s="97">
        <v>29119585.989999998</v>
      </c>
      <c r="C11" s="97">
        <v>36550161.490000002</v>
      </c>
      <c r="D11" s="60">
        <v>36184561</v>
      </c>
      <c r="E11" s="60">
        <f t="shared" si="0"/>
        <v>124.26193494792885</v>
      </c>
      <c r="F11" s="60">
        <f t="shared" si="1"/>
        <v>98.999729481085794</v>
      </c>
      <c r="G11" s="57"/>
      <c r="H11" s="37"/>
    </row>
    <row r="12" spans="1:8" ht="25.5" customHeight="1" x14ac:dyDescent="0.2">
      <c r="A12" s="55" t="s">
        <v>36</v>
      </c>
      <c r="B12" s="56">
        <f t="shared" ref="B12:C12" si="2">SUM(B13:B13)</f>
        <v>1950000</v>
      </c>
      <c r="C12" s="56">
        <f t="shared" si="2"/>
        <v>1750000</v>
      </c>
      <c r="D12" s="56">
        <f>SUM(D13:D13)</f>
        <v>1100000</v>
      </c>
      <c r="E12" s="56">
        <f t="shared" si="0"/>
        <v>56.410256410256409</v>
      </c>
      <c r="F12" s="56">
        <f t="shared" si="1"/>
        <v>62.857142857142854</v>
      </c>
      <c r="G12" s="57">
        <f>D12/D38*100</f>
        <v>0.6586537240521696</v>
      </c>
      <c r="H12" s="37"/>
    </row>
    <row r="13" spans="1:8" ht="56.25" x14ac:dyDescent="0.2">
      <c r="A13" s="58" t="s">
        <v>86</v>
      </c>
      <c r="B13" s="97">
        <v>1950000</v>
      </c>
      <c r="C13" s="97">
        <f>150000+1100000+500000</f>
        <v>1750000</v>
      </c>
      <c r="D13" s="60">
        <v>1100000</v>
      </c>
      <c r="E13" s="60">
        <f t="shared" si="0"/>
        <v>56.410256410256409</v>
      </c>
      <c r="F13" s="60">
        <f t="shared" si="1"/>
        <v>62.857142857142854</v>
      </c>
      <c r="G13" s="57"/>
      <c r="H13" s="37">
        <v>950000</v>
      </c>
    </row>
    <row r="14" spans="1:8" x14ac:dyDescent="0.2">
      <c r="A14" s="55" t="s">
        <v>37</v>
      </c>
      <c r="B14" s="56">
        <f>SUM(B15:B17)</f>
        <v>29418878.629999999</v>
      </c>
      <c r="C14" s="56">
        <f t="shared" ref="C14:D14" si="3">SUM(C15:C17)</f>
        <v>39581175.350000001</v>
      </c>
      <c r="D14" s="56">
        <f t="shared" si="3"/>
        <v>38193322.710000001</v>
      </c>
      <c r="E14" s="56">
        <f t="shared" si="0"/>
        <v>129.82589578058298</v>
      </c>
      <c r="F14" s="56">
        <f t="shared" si="1"/>
        <v>96.493654805023368</v>
      </c>
      <c r="G14" s="57">
        <f>D14/D38*100</f>
        <v>22.869249306243457</v>
      </c>
      <c r="H14" s="37">
        <f>16702469.6</f>
        <v>16702469.6</v>
      </c>
    </row>
    <row r="15" spans="1:8" ht="12.75" customHeight="1" x14ac:dyDescent="0.2">
      <c r="A15" s="58" t="s">
        <v>38</v>
      </c>
      <c r="B15" s="60">
        <v>900000</v>
      </c>
      <c r="C15" s="60">
        <v>1000000</v>
      </c>
      <c r="D15" s="60">
        <v>1000000</v>
      </c>
      <c r="E15" s="60">
        <f t="shared" si="0"/>
        <v>111.11111111111111</v>
      </c>
      <c r="F15" s="60">
        <f t="shared" si="1"/>
        <v>100</v>
      </c>
      <c r="G15" s="57"/>
      <c r="H15" s="38">
        <f>H16</f>
        <v>1505868</v>
      </c>
    </row>
    <row r="16" spans="1:8" x14ac:dyDescent="0.2">
      <c r="A16" s="61" t="s">
        <v>39</v>
      </c>
      <c r="B16" s="60">
        <v>27268878.629999999</v>
      </c>
      <c r="C16" s="60">
        <f>24298305.86+4332430.98+300000+3070608.55+50000+1518508.28+1500000+2500000</f>
        <v>37569853.670000002</v>
      </c>
      <c r="D16" s="60">
        <f>C16-330961.14-800000</f>
        <v>36438892.530000001</v>
      </c>
      <c r="E16" s="60">
        <f t="shared" si="0"/>
        <v>133.62812979742981</v>
      </c>
      <c r="F16" s="60">
        <f t="shared" si="1"/>
        <v>96.98971108609058</v>
      </c>
      <c r="G16" s="57"/>
      <c r="H16" s="37">
        <v>1505868</v>
      </c>
    </row>
    <row r="17" spans="1:8" ht="22.5" x14ac:dyDescent="0.2">
      <c r="A17" s="58" t="s">
        <v>70</v>
      </c>
      <c r="B17" s="60">
        <v>1250000</v>
      </c>
      <c r="C17" s="60">
        <f>401899.4+300000+309422.28</f>
        <v>1011321.68</v>
      </c>
      <c r="D17" s="60">
        <f>96686.18+239000+15000+101872+101872+200000</f>
        <v>754430.17999999993</v>
      </c>
      <c r="E17" s="60">
        <f t="shared" si="0"/>
        <v>60.354414399999989</v>
      </c>
      <c r="F17" s="60">
        <f t="shared" si="1"/>
        <v>74.598438352473565</v>
      </c>
      <c r="G17" s="57"/>
      <c r="H17" s="37"/>
    </row>
    <row r="18" spans="1:8" s="39" customFormat="1" x14ac:dyDescent="0.2">
      <c r="A18" s="55" t="s">
        <v>40</v>
      </c>
      <c r="B18" s="56">
        <f>SUM(B19:B21)</f>
        <v>40415895.030000001</v>
      </c>
      <c r="C18" s="56">
        <f t="shared" ref="C18" si="4">SUM(C19:C21)</f>
        <v>74570605.519999996</v>
      </c>
      <c r="D18" s="56">
        <f>SUM(D19:D21)</f>
        <v>61373351.719999999</v>
      </c>
      <c r="E18" s="56">
        <f t="shared" si="0"/>
        <v>151.85449109674215</v>
      </c>
      <c r="F18" s="56">
        <f t="shared" si="1"/>
        <v>82.30233788773451</v>
      </c>
      <c r="G18" s="57">
        <f>D18/D38*100</f>
        <v>36.748896970856023</v>
      </c>
      <c r="H18" s="38">
        <f>H19</f>
        <v>1675000</v>
      </c>
    </row>
    <row r="19" spans="1:8" x14ac:dyDescent="0.2">
      <c r="A19" s="58" t="s">
        <v>24</v>
      </c>
      <c r="B19" s="60">
        <v>5307261.33</v>
      </c>
      <c r="C19" s="60">
        <f>502229.16+9900000+4018302.36+127249.18+360000+13599.08+300000</f>
        <v>15221379.779999999</v>
      </c>
      <c r="D19" s="60">
        <f>325694.2+3293591.42+300000+90155.49+255000+13599.08+160000+150000+2786973.8+395000+37093.69</f>
        <v>7807107.6800000006</v>
      </c>
      <c r="E19" s="60">
        <f t="shared" si="0"/>
        <v>147.10237907203262</v>
      </c>
      <c r="F19" s="60">
        <f t="shared" si="1"/>
        <v>51.290407261620807</v>
      </c>
      <c r="G19" s="57"/>
      <c r="H19" s="37">
        <f>1675000</f>
        <v>1675000</v>
      </c>
    </row>
    <row r="20" spans="1:8" ht="12" customHeight="1" x14ac:dyDescent="0.2">
      <c r="A20" s="58" t="s">
        <v>25</v>
      </c>
      <c r="B20" s="60">
        <v>2450000</v>
      </c>
      <c r="C20" s="60">
        <f>2460000+100000+1139594.17+3351912.49</f>
        <v>7051506.6600000001</v>
      </c>
      <c r="D20" s="60">
        <f>1701900+11582.03+868193.25+158100+2139.64*2+3351912.49</f>
        <v>6095967.0500000007</v>
      </c>
      <c r="E20" s="60">
        <f t="shared" si="0"/>
        <v>248.81498163265309</v>
      </c>
      <c r="F20" s="60">
        <f t="shared" si="1"/>
        <v>86.4491426290449</v>
      </c>
      <c r="G20" s="57"/>
      <c r="H20" s="38">
        <f>H21+H22</f>
        <v>47796416.649999999</v>
      </c>
    </row>
    <row r="21" spans="1:8" x14ac:dyDescent="0.2">
      <c r="A21" s="58" t="s">
        <v>26</v>
      </c>
      <c r="B21" s="60">
        <v>32658633.699999999</v>
      </c>
      <c r="C21" s="60">
        <f>4365250+1300000+895400+3000000+399436.23+4983384+240125.16+88133.35+976600+685000+2418703.21+15140955.56+840054.41+2235137.65+57350+137434.23+1737000+4365250+530000+1000000+6902505.28</f>
        <v>52297719.079999998</v>
      </c>
      <c r="D21" s="60">
        <f>4365250+1300000+895400+3000000+1300752.05+399436.23+3324927.26+240125.16+88133.35+976600+685000+2418703.21+13630651.53+137434.23+1737000+4365250+530000+1000000+6902505.28+173108.69</f>
        <v>47470276.989999995</v>
      </c>
      <c r="E21" s="60">
        <f t="shared" si="0"/>
        <v>145.35291777990088</v>
      </c>
      <c r="F21" s="60">
        <f t="shared" si="1"/>
        <v>90.769306625752748</v>
      </c>
      <c r="G21" s="57"/>
      <c r="H21" s="37">
        <v>46596416.649999999</v>
      </c>
    </row>
    <row r="22" spans="1:8" ht="12.75" customHeight="1" x14ac:dyDescent="0.2">
      <c r="A22" s="55" t="s">
        <v>27</v>
      </c>
      <c r="B22" s="56">
        <f>B23</f>
        <v>0</v>
      </c>
      <c r="C22" s="56">
        <f>C23</f>
        <v>8000000</v>
      </c>
      <c r="D22" s="56">
        <f>D23</f>
        <v>8000000</v>
      </c>
      <c r="E22" s="56" t="e">
        <f t="shared" si="0"/>
        <v>#DIV/0!</v>
      </c>
      <c r="F22" s="56">
        <f t="shared" si="1"/>
        <v>100</v>
      </c>
      <c r="G22" s="57">
        <f>D22/D38*100</f>
        <v>4.7902089021975973</v>
      </c>
      <c r="H22" s="37">
        <f>1200000</f>
        <v>1200000</v>
      </c>
    </row>
    <row r="23" spans="1:8" ht="12.75" customHeight="1" x14ac:dyDescent="0.2">
      <c r="A23" s="58" t="s">
        <v>27</v>
      </c>
      <c r="B23" s="111"/>
      <c r="C23" s="111">
        <v>8000000</v>
      </c>
      <c r="D23" s="111">
        <v>8000000</v>
      </c>
      <c r="E23" s="60"/>
      <c r="F23" s="60">
        <f t="shared" ref="F23" si="5">D23/C23*100</f>
        <v>100</v>
      </c>
      <c r="G23" s="57"/>
      <c r="H23" s="37"/>
    </row>
    <row r="24" spans="1:8" ht="12.75" customHeight="1" x14ac:dyDescent="0.2">
      <c r="A24" s="55" t="s">
        <v>41</v>
      </c>
      <c r="B24" s="56">
        <f>B25</f>
        <v>55000</v>
      </c>
      <c r="C24" s="56">
        <f>C25</f>
        <v>46150.43</v>
      </c>
      <c r="D24" s="56">
        <f>D25</f>
        <v>46150.43</v>
      </c>
      <c r="E24" s="56">
        <f t="shared" si="0"/>
        <v>83.909872727272727</v>
      </c>
      <c r="F24" s="56">
        <f t="shared" si="1"/>
        <v>100</v>
      </c>
      <c r="G24" s="57">
        <f>D24/D38*100</f>
        <v>2.7633775078280885E-2</v>
      </c>
      <c r="H24" s="38" t="e">
        <f>SUM(H25:H28)</f>
        <v>#DIV/0!</v>
      </c>
    </row>
    <row r="25" spans="1:8" ht="22.5" x14ac:dyDescent="0.2">
      <c r="A25" s="58" t="s">
        <v>28</v>
      </c>
      <c r="B25" s="97">
        <v>55000</v>
      </c>
      <c r="C25" s="97">
        <v>46150.43</v>
      </c>
      <c r="D25" s="97">
        <v>46150.43</v>
      </c>
      <c r="E25" s="60">
        <f t="shared" si="0"/>
        <v>83.909872727272727</v>
      </c>
      <c r="F25" s="60">
        <f t="shared" si="1"/>
        <v>100</v>
      </c>
      <c r="G25" s="57"/>
      <c r="H25" s="37">
        <v>5919437.7699999996</v>
      </c>
    </row>
    <row r="26" spans="1:8" ht="12.75" hidden="1" customHeight="1" x14ac:dyDescent="0.2">
      <c r="A26" s="62" t="s">
        <v>71</v>
      </c>
      <c r="B26" s="63">
        <f>B27</f>
        <v>0</v>
      </c>
      <c r="C26" s="63">
        <f>C27</f>
        <v>0</v>
      </c>
      <c r="D26" s="63">
        <f>D27</f>
        <v>0</v>
      </c>
      <c r="E26" s="63" t="e">
        <f t="shared" si="0"/>
        <v>#DIV/0!</v>
      </c>
      <c r="F26" s="63" t="e">
        <f t="shared" si="1"/>
        <v>#DIV/0!</v>
      </c>
      <c r="G26" s="64">
        <f>B26/B38*100</f>
        <v>0</v>
      </c>
      <c r="H26" s="40" t="e">
        <f t="shared" ref="H26:H27" si="6">D26/C26*100</f>
        <v>#DIV/0!</v>
      </c>
    </row>
    <row r="27" spans="1:8" ht="12.75" hidden="1" customHeight="1" x14ac:dyDescent="0.2">
      <c r="A27" s="58" t="s">
        <v>72</v>
      </c>
      <c r="B27" s="59"/>
      <c r="C27" s="59"/>
      <c r="D27" s="59"/>
      <c r="E27" s="59" t="e">
        <f t="shared" si="0"/>
        <v>#DIV/0!</v>
      </c>
      <c r="F27" s="59" t="e">
        <f t="shared" si="1"/>
        <v>#DIV/0!</v>
      </c>
      <c r="G27" s="65"/>
      <c r="H27" s="41" t="e">
        <f t="shared" si="6"/>
        <v>#DIV/0!</v>
      </c>
    </row>
    <row r="28" spans="1:8" x14ac:dyDescent="0.2">
      <c r="A28" s="55" t="s">
        <v>42</v>
      </c>
      <c r="B28" s="56">
        <f>SUM(B29:B29)</f>
        <v>312000</v>
      </c>
      <c r="C28" s="56">
        <f>SUM(C29:C29)</f>
        <v>332760</v>
      </c>
      <c r="D28" s="56">
        <f>SUM(D29:D29)</f>
        <v>300000</v>
      </c>
      <c r="E28" s="56">
        <f t="shared" si="0"/>
        <v>96.15384615384616</v>
      </c>
      <c r="F28" s="56">
        <f t="shared" si="1"/>
        <v>90.155066714749367</v>
      </c>
      <c r="G28" s="57">
        <f>D28/D38*100</f>
        <v>0.17963283383240991</v>
      </c>
      <c r="H28" s="37">
        <f>97000514.32</f>
        <v>97000514.319999993</v>
      </c>
    </row>
    <row r="29" spans="1:8" ht="21" customHeight="1" x14ac:dyDescent="0.2">
      <c r="A29" s="58" t="s">
        <v>43</v>
      </c>
      <c r="B29" s="97">
        <v>312000</v>
      </c>
      <c r="C29" s="97">
        <v>332760</v>
      </c>
      <c r="D29" s="60">
        <v>300000</v>
      </c>
      <c r="E29" s="60">
        <f t="shared" si="0"/>
        <v>96.15384615384616</v>
      </c>
      <c r="F29" s="60">
        <f t="shared" si="1"/>
        <v>90.155066714749367</v>
      </c>
      <c r="G29" s="57"/>
      <c r="H29" s="42"/>
    </row>
    <row r="30" spans="1:8" ht="13.5" customHeight="1" x14ac:dyDescent="0.2">
      <c r="A30" s="55" t="s">
        <v>30</v>
      </c>
      <c r="B30" s="56">
        <f>B31</f>
        <v>200000</v>
      </c>
      <c r="C30" s="56">
        <f>C31</f>
        <v>200000</v>
      </c>
      <c r="D30" s="56">
        <f>D31</f>
        <v>0</v>
      </c>
      <c r="E30" s="56">
        <f t="shared" si="0"/>
        <v>0</v>
      </c>
      <c r="F30" s="56">
        <f t="shared" si="1"/>
        <v>0</v>
      </c>
      <c r="G30" s="57">
        <f>D30/D38*100</f>
        <v>0</v>
      </c>
      <c r="H30" s="42"/>
    </row>
    <row r="31" spans="1:8" ht="12.75" customHeight="1" x14ac:dyDescent="0.2">
      <c r="A31" s="58" t="s">
        <v>44</v>
      </c>
      <c r="B31" s="97">
        <v>200000</v>
      </c>
      <c r="C31" s="97">
        <v>200000</v>
      </c>
      <c r="D31" s="60">
        <v>0</v>
      </c>
      <c r="E31" s="60">
        <f t="shared" si="0"/>
        <v>0</v>
      </c>
      <c r="F31" s="60">
        <f t="shared" si="1"/>
        <v>0</v>
      </c>
      <c r="G31" s="57"/>
      <c r="H31" s="38">
        <f>SUM(H32:H33)</f>
        <v>100000</v>
      </c>
    </row>
    <row r="32" spans="1:8" ht="21" customHeight="1" x14ac:dyDescent="0.2">
      <c r="A32" s="55" t="s">
        <v>45</v>
      </c>
      <c r="B32" s="56">
        <f>B33</f>
        <v>1356000</v>
      </c>
      <c r="C32" s="56">
        <f>C33</f>
        <v>1701240</v>
      </c>
      <c r="D32" s="56">
        <f>SUM(D33:D33)</f>
        <v>1546000</v>
      </c>
      <c r="E32" s="56">
        <f t="shared" si="0"/>
        <v>114.0117994100295</v>
      </c>
      <c r="F32" s="56">
        <f t="shared" si="1"/>
        <v>90.87489125578989</v>
      </c>
      <c r="G32" s="57">
        <f>D32/D38*100</f>
        <v>0.9257078703496856</v>
      </c>
      <c r="H32" s="37"/>
    </row>
    <row r="33" spans="1:8" ht="22.5" x14ac:dyDescent="0.2">
      <c r="A33" s="66" t="s">
        <v>29</v>
      </c>
      <c r="B33" s="97">
        <v>1356000</v>
      </c>
      <c r="C33" s="97">
        <v>1701240</v>
      </c>
      <c r="D33" s="97">
        <f>1246000+300000</f>
        <v>1546000</v>
      </c>
      <c r="E33" s="67">
        <f t="shared" si="0"/>
        <v>114.0117994100295</v>
      </c>
      <c r="F33" s="67">
        <f t="shared" si="1"/>
        <v>90.87489125578989</v>
      </c>
      <c r="G33" s="68"/>
      <c r="H33" s="37">
        <v>100000</v>
      </c>
    </row>
    <row r="34" spans="1:8" s="39" customFormat="1" ht="31.5" x14ac:dyDescent="0.2">
      <c r="A34" s="89" t="s">
        <v>87</v>
      </c>
      <c r="B34" s="90">
        <f>B35</f>
        <v>6521.37</v>
      </c>
      <c r="C34" s="90">
        <f>C35</f>
        <v>6521.37</v>
      </c>
      <c r="D34" s="91">
        <f>D35</f>
        <v>6521.37</v>
      </c>
      <c r="E34" s="91"/>
      <c r="F34" s="56">
        <f t="shared" si="1"/>
        <v>100</v>
      </c>
      <c r="G34" s="68">
        <f>D34/D38*100</f>
        <v>3.9048405785655433E-3</v>
      </c>
      <c r="H34" s="38"/>
    </row>
    <row r="35" spans="1:8" ht="34.5" thickBot="1" x14ac:dyDescent="0.25">
      <c r="A35" s="66" t="s">
        <v>88</v>
      </c>
      <c r="B35" s="97">
        <v>6521.37</v>
      </c>
      <c r="C35" s="97">
        <v>6521.37</v>
      </c>
      <c r="D35" s="67">
        <v>6521.37</v>
      </c>
      <c r="E35" s="67"/>
      <c r="F35" s="67">
        <f t="shared" ref="F35" si="7">D35/C35*100</f>
        <v>100</v>
      </c>
      <c r="G35" s="68"/>
      <c r="H35" s="37"/>
    </row>
    <row r="36" spans="1:8" ht="45" hidden="1" x14ac:dyDescent="0.2">
      <c r="A36" s="55" t="s">
        <v>73</v>
      </c>
      <c r="B36" s="63">
        <f>B37</f>
        <v>0</v>
      </c>
      <c r="C36" s="63">
        <f>C37</f>
        <v>0</v>
      </c>
      <c r="D36" s="63">
        <f>D37</f>
        <v>0</v>
      </c>
      <c r="E36" s="91"/>
      <c r="F36" s="63" t="e">
        <f t="shared" si="1"/>
        <v>#DIV/0!</v>
      </c>
      <c r="G36" s="57">
        <f>D36/D38*100</f>
        <v>0</v>
      </c>
      <c r="H36" s="37"/>
    </row>
    <row r="37" spans="1:8" ht="45.75" hidden="1" thickBot="1" x14ac:dyDescent="0.25">
      <c r="A37" s="66" t="s">
        <v>73</v>
      </c>
      <c r="B37" s="72">
        <v>0</v>
      </c>
      <c r="C37" s="72">
        <v>0</v>
      </c>
      <c r="D37" s="69"/>
      <c r="E37" s="67"/>
      <c r="F37" s="69" t="e">
        <f t="shared" si="1"/>
        <v>#DIV/0!</v>
      </c>
      <c r="G37" s="69"/>
      <c r="H37" s="43"/>
    </row>
    <row r="38" spans="1:8" ht="15.75" thickBot="1" x14ac:dyDescent="0.25">
      <c r="A38" s="70"/>
      <c r="B38" s="71">
        <f>B6+B12+B14+B18+B22+B24+B26+B28+B30+B32+B36+B34</f>
        <v>121117284.68000001</v>
      </c>
      <c r="C38" s="71">
        <f t="shared" ref="C38:D38" si="8">C6+C12+C14+C18+C22+C24+C26+C28+C30+C32+C36+C34</f>
        <v>183549281.83000001</v>
      </c>
      <c r="D38" s="71">
        <f t="shared" si="8"/>
        <v>167007330.23000002</v>
      </c>
      <c r="E38" s="71">
        <f t="shared" si="0"/>
        <v>137.88893193175903</v>
      </c>
      <c r="F38" s="71">
        <f t="shared" si="1"/>
        <v>90.987732866576494</v>
      </c>
      <c r="G38" s="73">
        <f>G6++G12+G14+G18+G22+G24+G28+G30+G32</f>
        <v>99.996095159421415</v>
      </c>
      <c r="H38" s="38">
        <f>SUM(H39)</f>
        <v>970000</v>
      </c>
    </row>
    <row r="39" spans="1:8" x14ac:dyDescent="0.2">
      <c r="A39" s="44"/>
      <c r="B39" s="44"/>
      <c r="C39" s="44"/>
      <c r="D39" s="45"/>
      <c r="E39" s="46"/>
      <c r="F39" s="46"/>
      <c r="H39" s="37">
        <v>970000</v>
      </c>
    </row>
    <row r="40" spans="1:8" x14ac:dyDescent="0.2">
      <c r="A40" s="47"/>
      <c r="B40" s="47"/>
      <c r="C40" s="47"/>
      <c r="D40" s="48"/>
      <c r="E40" s="46"/>
      <c r="F40" s="46"/>
      <c r="H40" s="38">
        <f>SUM(H41:H42)</f>
        <v>23072792</v>
      </c>
    </row>
    <row r="41" spans="1:8" x14ac:dyDescent="0.2">
      <c r="A41" s="44"/>
      <c r="B41" s="44"/>
      <c r="C41" s="44"/>
      <c r="D41" s="45"/>
      <c r="E41" s="46"/>
      <c r="F41" s="46"/>
      <c r="H41" s="37">
        <v>23072792</v>
      </c>
    </row>
    <row r="42" spans="1:8" hidden="1" x14ac:dyDescent="0.2">
      <c r="A42" s="44"/>
      <c r="B42" s="44"/>
      <c r="C42" s="44"/>
      <c r="D42" s="45"/>
      <c r="E42" s="46"/>
      <c r="F42" s="46"/>
      <c r="H42" s="37"/>
    </row>
    <row r="43" spans="1:8" ht="18.75" customHeight="1" x14ac:dyDescent="0.2">
      <c r="A43" s="47"/>
      <c r="B43" s="47"/>
      <c r="C43" s="47"/>
      <c r="D43" s="48"/>
      <c r="E43" s="46"/>
      <c r="F43" s="46"/>
      <c r="H43" s="38">
        <f>H44</f>
        <v>1844000</v>
      </c>
    </row>
    <row r="44" spans="1:8" x14ac:dyDescent="0.2">
      <c r="A44" s="44"/>
      <c r="B44" s="44"/>
      <c r="C44" s="44"/>
      <c r="D44" s="45"/>
      <c r="E44" s="46"/>
      <c r="F44" s="46"/>
      <c r="H44" s="37">
        <v>1844000</v>
      </c>
    </row>
    <row r="45" spans="1:8" ht="18" customHeight="1" x14ac:dyDescent="0.2">
      <c r="A45" s="47"/>
      <c r="B45" s="47"/>
      <c r="C45" s="47"/>
      <c r="D45" s="48"/>
      <c r="E45" s="46"/>
      <c r="F45" s="46"/>
      <c r="H45" s="38">
        <f>H46</f>
        <v>16636683.619999999</v>
      </c>
    </row>
    <row r="46" spans="1:8" x14ac:dyDescent="0.2">
      <c r="A46" s="44"/>
      <c r="B46" s="44"/>
      <c r="C46" s="44"/>
      <c r="D46" s="45"/>
      <c r="E46" s="46"/>
      <c r="F46" s="46"/>
      <c r="H46" s="37">
        <v>16636683.619999999</v>
      </c>
    </row>
    <row r="47" spans="1:8" x14ac:dyDescent="0.2">
      <c r="A47" s="47"/>
      <c r="B47" s="47"/>
      <c r="C47" s="47"/>
      <c r="D47" s="45"/>
      <c r="E47" s="46"/>
      <c r="F47" s="46"/>
      <c r="H47" s="38">
        <f>SUM(H48:H48)</f>
        <v>5104000</v>
      </c>
    </row>
    <row r="48" spans="1:8" x14ac:dyDescent="0.2">
      <c r="A48" s="44"/>
      <c r="B48" s="44"/>
      <c r="C48" s="44"/>
      <c r="D48" s="45"/>
      <c r="E48" s="46"/>
      <c r="F48" s="46"/>
      <c r="H48" s="37">
        <v>5104000</v>
      </c>
    </row>
    <row r="49" spans="1:8" ht="23.25" customHeight="1" x14ac:dyDescent="0.2">
      <c r="A49" s="47"/>
      <c r="B49" s="47"/>
      <c r="C49" s="47"/>
      <c r="D49" s="48"/>
      <c r="E49" s="46"/>
      <c r="F49" s="46"/>
      <c r="H49" s="38">
        <f>H50</f>
        <v>11098382</v>
      </c>
    </row>
    <row r="50" spans="1:8" x14ac:dyDescent="0.2">
      <c r="A50" s="44"/>
      <c r="B50" s="44"/>
      <c r="C50" s="44"/>
      <c r="D50" s="45"/>
      <c r="E50" s="46"/>
      <c r="F50" s="46"/>
      <c r="H50" s="37">
        <v>11098382</v>
      </c>
    </row>
    <row r="51" spans="1:8" ht="13.5" thickBot="1" x14ac:dyDescent="0.25">
      <c r="A51" s="47"/>
      <c r="B51" s="47"/>
      <c r="C51" s="47"/>
      <c r="D51" s="48"/>
      <c r="E51" s="46"/>
      <c r="F51" s="46"/>
      <c r="H51" s="49" t="e">
        <f>H7+H15+H18+H20+H24+H40+H45+H43+H49+H47+H38+H31</f>
        <v>#DIV/0!</v>
      </c>
    </row>
    <row r="52" spans="1:8" x14ac:dyDescent="0.2">
      <c r="A52" s="46"/>
      <c r="B52" s="46"/>
      <c r="C52" s="46"/>
      <c r="D52" s="46"/>
      <c r="E52" s="46"/>
      <c r="F52" s="46"/>
    </row>
    <row r="53" spans="1:8" x14ac:dyDescent="0.2">
      <c r="A53" s="46"/>
      <c r="B53" s="50"/>
      <c r="C53" s="44"/>
      <c r="D53" s="46"/>
      <c r="E53" s="46"/>
      <c r="F53" s="46"/>
      <c r="H53" s="33">
        <v>294897359.91000003</v>
      </c>
    </row>
    <row r="54" spans="1:8" x14ac:dyDescent="0.2">
      <c r="B54" s="51"/>
      <c r="C54" s="52"/>
      <c r="H54" s="52" t="e">
        <f>H51-H53</f>
        <v>#DIV/0!</v>
      </c>
    </row>
  </sheetData>
  <mergeCells count="7">
    <mergeCell ref="A1:G1"/>
    <mergeCell ref="G3:G5"/>
    <mergeCell ref="B4:C4"/>
    <mergeCell ref="D4:D5"/>
    <mergeCell ref="E4:F4"/>
    <mergeCell ref="A3:A5"/>
    <mergeCell ref="B3:F3"/>
  </mergeCells>
  <pageMargins left="1.2204724409448819" right="0.23622047244094491" top="0.74803149606299213" bottom="0.15748031496062992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2024-11-11T06:39:37Z</cp:lastPrinted>
  <dcterms:created xsi:type="dcterms:W3CDTF">2016-11-18T05:05:57Z</dcterms:created>
  <dcterms:modified xsi:type="dcterms:W3CDTF">2024-11-15T12:29:47Z</dcterms:modified>
</cp:coreProperties>
</file>